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Zestawienie zbiorcze" sheetId="1" r:id="rId1"/>
    <sheet name="Arkusz1" sheetId="2" r:id="rId2"/>
  </sheets>
  <definedNames>
    <definedName name="_xlnm.Print_Area" localSheetId="0">'Zestawienie zbiorcze'!$B$1:$P$279</definedName>
  </definedNames>
  <calcPr fullCalcOnLoad="1"/>
</workbook>
</file>

<file path=xl/sharedStrings.xml><?xml version="1.0" encoding="utf-8"?>
<sst xmlns="http://schemas.openxmlformats.org/spreadsheetml/2006/main" count="1758" uniqueCount="454">
  <si>
    <t>Pozostałe Obiekty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</si>
  <si>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</si>
  <si>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</si>
  <si>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</si>
  <si>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</si>
  <si>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</si>
  <si>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</si>
  <si>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</si>
  <si>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</si>
  <si>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</si>
  <si>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</si>
  <si>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moc umowna</t>
  </si>
  <si>
    <t>zmiana sprzedawcy</t>
  </si>
  <si>
    <t>nazwa OSD</t>
  </si>
  <si>
    <t>suma:</t>
  </si>
  <si>
    <t>Wojska Polskiego</t>
  </si>
  <si>
    <t>05-500</t>
  </si>
  <si>
    <t>Piaseczno</t>
  </si>
  <si>
    <t>C11</t>
  </si>
  <si>
    <t>C12a</t>
  </si>
  <si>
    <t>PGE Dystrybucja S.A.</t>
  </si>
  <si>
    <t>G11</t>
  </si>
  <si>
    <t>PL_ZEWD_1418001574_07</t>
  </si>
  <si>
    <t>kolejna</t>
  </si>
  <si>
    <t>Świetlica</t>
  </si>
  <si>
    <t>Szkolna</t>
  </si>
  <si>
    <t>PL_ZEWD_1418001683_02</t>
  </si>
  <si>
    <t>Klub Kultury + Sklep GS</t>
  </si>
  <si>
    <t>05-504</t>
  </si>
  <si>
    <t>Złotokłos</t>
  </si>
  <si>
    <t>PL_ZEWD_1418001768_02</t>
  </si>
  <si>
    <t>Przystanek Kultura</t>
  </si>
  <si>
    <t>PL_ZEWD_1418001682_00</t>
  </si>
  <si>
    <t>00782203</t>
  </si>
  <si>
    <t>C21</t>
  </si>
  <si>
    <t>Biblioteka</t>
  </si>
  <si>
    <t>05-532</t>
  </si>
  <si>
    <t>Baniocha</t>
  </si>
  <si>
    <t>Wiekowej Sosny</t>
  </si>
  <si>
    <t>05-540</t>
  </si>
  <si>
    <t>Zalesie Górne</t>
  </si>
  <si>
    <t>PL_ZEWD_1418001874_01</t>
  </si>
  <si>
    <t>PL_ZEWD_1418001664_06</t>
  </si>
  <si>
    <t>00908229</t>
  </si>
  <si>
    <t>PL_ZEWD_1418001615_03</t>
  </si>
  <si>
    <t>Gmina Piaseczno</t>
  </si>
  <si>
    <t>05-501</t>
  </si>
  <si>
    <t>05-502</t>
  </si>
  <si>
    <t>Pl. Piłsudskiego</t>
  </si>
  <si>
    <t>30 ADM</t>
  </si>
  <si>
    <t>C12b</t>
  </si>
  <si>
    <t>12 KL II</t>
  </si>
  <si>
    <t>00116497</t>
  </si>
  <si>
    <t>11A</t>
  </si>
  <si>
    <t>Głosków</t>
  </si>
  <si>
    <t>23047159</t>
  </si>
  <si>
    <t>21a</t>
  </si>
  <si>
    <t>26467414</t>
  </si>
  <si>
    <t>4 kl. I</t>
  </si>
  <si>
    <t>4 kl. III</t>
  </si>
  <si>
    <t>2 kl. I</t>
  </si>
  <si>
    <t>71019049</t>
  </si>
  <si>
    <t>4 kl. II</t>
  </si>
  <si>
    <t>2 kl. II</t>
  </si>
  <si>
    <t>Garaż</t>
  </si>
  <si>
    <t>dz. 2/146 m 2/147</t>
  </si>
  <si>
    <t>Gminny Ośrodek Sportu i Rekreacji</t>
  </si>
  <si>
    <t>GOSiR</t>
  </si>
  <si>
    <t>05-503</t>
  </si>
  <si>
    <t>Wola Gołkowska</t>
  </si>
  <si>
    <t>Stadion Sportowy</t>
  </si>
  <si>
    <t>PL_ZEWD_1418001733_05</t>
  </si>
  <si>
    <t>PL_ZEWD_1418001744_06</t>
  </si>
  <si>
    <t>PL_ZEWD_1418001576_01</t>
  </si>
  <si>
    <t>00908941</t>
  </si>
  <si>
    <t>Przedszkole nr 1 w Piasecznie</t>
  </si>
  <si>
    <t>PL_ZEWD_1418001659_07</t>
  </si>
  <si>
    <t>PL_ZEWD_1418001625_02</t>
  </si>
  <si>
    <t>Przedszkole nr 11</t>
  </si>
  <si>
    <t>PL_ZEWD_1418001639_09</t>
  </si>
  <si>
    <t>Przedszkole nr 2</t>
  </si>
  <si>
    <t>PL_ZEWD_1418001635_01</t>
  </si>
  <si>
    <t>Przedszkole nr 3</t>
  </si>
  <si>
    <t>PL_ZEWD_1418001631_03</t>
  </si>
  <si>
    <t>Przedszkole nr 4</t>
  </si>
  <si>
    <t>Fabryczna</t>
  </si>
  <si>
    <t>PL_ZEWD_1418001666_00</t>
  </si>
  <si>
    <t>Przedszkole nr 6 w Głoskowie</t>
  </si>
  <si>
    <t>PL_ZEWD_1418001618_09</t>
  </si>
  <si>
    <t>Przedszkole nr 8</t>
  </si>
  <si>
    <t>PL_ZEWD_1418001627_06</t>
  </si>
  <si>
    <t>Przedszkole nr 9</t>
  </si>
  <si>
    <t>100/101</t>
  </si>
  <si>
    <t>PL_ZEWD_1418001617_07</t>
  </si>
  <si>
    <t xml:space="preserve">Przedzkole nr 7 </t>
  </si>
  <si>
    <t>PL_ZEWD_1418001660_08</t>
  </si>
  <si>
    <t>Szkoła Podstawowa im. Wspólnej Europy</t>
  </si>
  <si>
    <t>Szkoła Podstawowa nr 1</t>
  </si>
  <si>
    <t xml:space="preserve">Szkoła Podstawowa nr 5 </t>
  </si>
  <si>
    <t>PL_ZEWD_1418001616_05</t>
  </si>
  <si>
    <t>00907586</t>
  </si>
  <si>
    <t>Szkoła Podstawowa nr 2 im. Ewy Krauze</t>
  </si>
  <si>
    <t>PL_ZEWD_1418001663_04</t>
  </si>
  <si>
    <t>00568000</t>
  </si>
  <si>
    <t>Al. Kalin</t>
  </si>
  <si>
    <t>05-510</t>
  </si>
  <si>
    <t>Konstancin-Jeziorna</t>
  </si>
  <si>
    <t>PL_ZEWD_1418001646_02</t>
  </si>
  <si>
    <t>PL_ZEWD_1418001685_06</t>
  </si>
  <si>
    <t>00908738</t>
  </si>
  <si>
    <t>Kameralna</t>
  </si>
  <si>
    <t>05-509</t>
  </si>
  <si>
    <t>PL_ZEWD_1418001709_00</t>
  </si>
  <si>
    <t>PL_ZEWD_1418001626_04</t>
  </si>
  <si>
    <t>00848379</t>
  </si>
  <si>
    <t>PL_ZEWD_1418001684_04</t>
  </si>
  <si>
    <t>00908146</t>
  </si>
  <si>
    <t>PL_ZEWD_1418001569_08</t>
  </si>
  <si>
    <t>Dobra</t>
  </si>
  <si>
    <t>Sikorskiego</t>
  </si>
  <si>
    <t>Białej Brzozy</t>
  </si>
  <si>
    <t>Al. Pokoju</t>
  </si>
  <si>
    <t>11-go Listopada</t>
  </si>
  <si>
    <t>Świętojańska</t>
  </si>
  <si>
    <t>Gołkowska</t>
  </si>
  <si>
    <t>Gołków</t>
  </si>
  <si>
    <t>Jagiellonki</t>
  </si>
  <si>
    <t>Orzechowa, Robercin</t>
  </si>
  <si>
    <t>3 Maja</t>
  </si>
  <si>
    <t>Jelonka</t>
  </si>
  <si>
    <t>Puławska</t>
  </si>
  <si>
    <t>Królewska, Bogatki</t>
  </si>
  <si>
    <t>Kościuszki</t>
  </si>
  <si>
    <t>Jana Pawła II</t>
  </si>
  <si>
    <t>Kauna</t>
  </si>
  <si>
    <t>Energetyczna</t>
  </si>
  <si>
    <t>Mickiewicza</t>
  </si>
  <si>
    <t>Nadarzyńska</t>
  </si>
  <si>
    <t>Jerozolimska</t>
  </si>
  <si>
    <t>Sierakowskiego</t>
  </si>
  <si>
    <t>Czajewicza</t>
  </si>
  <si>
    <t>Ceramiczna, Gołków-Cegielnia</t>
  </si>
  <si>
    <t>Warszawska</t>
  </si>
  <si>
    <t>Skrzetuskiego</t>
  </si>
  <si>
    <t>Mrokowska, Szczaki</t>
  </si>
  <si>
    <t>Leśna, Żabieniec</t>
  </si>
  <si>
    <t>Urbanistów, Julianów</t>
  </si>
  <si>
    <t>1-go Maja</t>
  </si>
  <si>
    <t>Gen. Wł. Sikorskiego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</si>
  <si>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</si>
  <si>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</si>
  <si>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</si>
  <si>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</si>
  <si>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</si>
  <si>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</si>
  <si>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</si>
  <si>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</si>
  <si>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</si>
  <si>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</si>
  <si>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</si>
  <si>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Chyliczkowska</t>
  </si>
  <si>
    <t>Orzeszyn</t>
  </si>
  <si>
    <t>Filia Chojnów</t>
  </si>
  <si>
    <t>Klonowa</t>
  </si>
  <si>
    <t>Filia Piaseczno</t>
  </si>
  <si>
    <t>Filia Bogatki</t>
  </si>
  <si>
    <t>Królewska</t>
  </si>
  <si>
    <t>Filia Jazgarzew</t>
  </si>
  <si>
    <t>PL_ZEWD_1418001769_04</t>
  </si>
  <si>
    <t>PL_ZEWD_1418001679_05</t>
  </si>
  <si>
    <t>PL_ZEWD_1418001707_06</t>
  </si>
  <si>
    <t>PL_ZEWD_1418001706_04</t>
  </si>
  <si>
    <t>PL_ZEWD_1418001708_08</t>
  </si>
  <si>
    <t>Dom Kultury</t>
  </si>
  <si>
    <t>T. Kościuszki</t>
  </si>
  <si>
    <t>Runów</t>
  </si>
  <si>
    <t>Szkoła Podstawowa</t>
  </si>
  <si>
    <t>Millenium</t>
  </si>
  <si>
    <t>Dworska</t>
  </si>
  <si>
    <t>SUMA:</t>
  </si>
  <si>
    <t>kWh</t>
  </si>
  <si>
    <t>Fontanna</t>
  </si>
  <si>
    <t>Pozostałe obekty d. Żłobek</t>
  </si>
  <si>
    <t>PL_ZEWD_1418003329_00</t>
  </si>
  <si>
    <t>Sielska</t>
  </si>
  <si>
    <t>2 kl. III</t>
  </si>
  <si>
    <t>OSP Bobrowiec</t>
  </si>
  <si>
    <t>Mazowiecka</t>
  </si>
  <si>
    <t>OSP Grochowa</t>
  </si>
  <si>
    <t>OSP Bogatki</t>
  </si>
  <si>
    <t>Pawlaka</t>
  </si>
  <si>
    <t>OSP Chojnów</t>
  </si>
  <si>
    <t>OSP Złotokłos</t>
  </si>
  <si>
    <t>01103324</t>
  </si>
  <si>
    <t>00237757</t>
  </si>
  <si>
    <t>PL_ZEWD_1418001662_02</t>
  </si>
  <si>
    <t>00909181</t>
  </si>
  <si>
    <t>PL_ZEWD_1418001661_00</t>
  </si>
  <si>
    <t>00909187</t>
  </si>
  <si>
    <t>PL_ZEWD_1418003318_09</t>
  </si>
  <si>
    <t>01103424</t>
  </si>
  <si>
    <t>9501504</t>
  </si>
  <si>
    <t>PL_ZEWD_1418003123_02</t>
  </si>
  <si>
    <t>PL_ZEWD_1418003114_05</t>
  </si>
  <si>
    <t>PL_ZEWD_1418003045_06</t>
  </si>
  <si>
    <t>PL_ZEWD_1418003099_09</t>
  </si>
  <si>
    <t>PL_ZEWD_1418003102_02</t>
  </si>
  <si>
    <t>PL_ZEWD_1418003046_08</t>
  </si>
  <si>
    <t>00235531</t>
  </si>
  <si>
    <t>00250607</t>
  </si>
  <si>
    <t>00250608</t>
  </si>
  <si>
    <t>00250602</t>
  </si>
  <si>
    <t>00235535</t>
  </si>
  <si>
    <t>PL_ZEWD_1418001952_07</t>
  </si>
  <si>
    <t>00250605</t>
  </si>
  <si>
    <t>00235534</t>
  </si>
  <si>
    <t>00235618</t>
  </si>
  <si>
    <t>00237754</t>
  </si>
  <si>
    <t>00237759</t>
  </si>
  <si>
    <t>PL_ZEWD_1418003063_00</t>
  </si>
  <si>
    <t>PL_ZEWD_1418003097_05</t>
  </si>
  <si>
    <t>PL_ZEWD_1418003092_05</t>
  </si>
  <si>
    <t>PL_ZEWD_1418003101_00</t>
  </si>
  <si>
    <t>PL_ZEWD_1418003163_08</t>
  </si>
  <si>
    <t>PL_ZEWD_1418003060_04</t>
  </si>
  <si>
    <t>20 (lok.uż.)</t>
  </si>
  <si>
    <t>PL_ZEWD_1418003069_02</t>
  </si>
  <si>
    <t>PL_ZEWD_1418003112_01</t>
  </si>
  <si>
    <t>00235530</t>
  </si>
  <si>
    <t>PL_ZEWD_1418003044_04</t>
  </si>
  <si>
    <t>PL_ZEWD_1418003093_07</t>
  </si>
  <si>
    <t>00250609</t>
  </si>
  <si>
    <t>PL_ZEWD_1418003107_02</t>
  </si>
  <si>
    <t>00235539</t>
  </si>
  <si>
    <t>PL_ZEWD_1418003096_03</t>
  </si>
  <si>
    <t>00235537</t>
  </si>
  <si>
    <t>PL_ZEWD_1418003068_00</t>
  </si>
  <si>
    <t>00237752</t>
  </si>
  <si>
    <t>PL_ZEWD_1418003147_08</t>
  </si>
  <si>
    <t>PL_ZEWD_1418003058_01</t>
  </si>
  <si>
    <t>PL_ZEWD_1418003059_03</t>
  </si>
  <si>
    <t>PL_ZEWD_1418003090_01</t>
  </si>
  <si>
    <t>PL_ZEWD_1418003106_00</t>
  </si>
  <si>
    <t>PL_ZEWD_1418003066_06</t>
  </si>
  <si>
    <t>01438916</t>
  </si>
  <si>
    <t>PL_ZEWD_1418003067_08</t>
  </si>
  <si>
    <t>PL_ZEWD_1418003120_06</t>
  </si>
  <si>
    <t>PL_ZEWD_1418003118_03</t>
  </si>
  <si>
    <t>PL_ZEWD_1418003126_08</t>
  </si>
  <si>
    <t>PL_ZEWD_1418003113_03</t>
  </si>
  <si>
    <t>PL_ZEWD_1418003128_02</t>
  </si>
  <si>
    <t>PL_ZEWD_1418003091_03</t>
  </si>
  <si>
    <t>PL_ZEWD_1418003121_08</t>
  </si>
  <si>
    <t>PL_ZEWD_1418003124_04</t>
  </si>
  <si>
    <t>26754855</t>
  </si>
  <si>
    <t>PL_ZEWD_1418003161_04</t>
  </si>
  <si>
    <t>PL_ZEWD_1418003221_06</t>
  </si>
  <si>
    <t>26017216</t>
  </si>
  <si>
    <t>PL_ZEWD_1418003103_04</t>
  </si>
  <si>
    <t>PL_ZEWD_1418003110_07</t>
  </si>
  <si>
    <t>PL_ZEWD_1418003116_09</t>
  </si>
  <si>
    <t>26901386</t>
  </si>
  <si>
    <t>PL_ZEWD_1418003098_07</t>
  </si>
  <si>
    <t>8 kl. I</t>
  </si>
  <si>
    <t>8 kl. II</t>
  </si>
  <si>
    <t>8 kl. III</t>
  </si>
  <si>
    <t>PL_ZEWD_1418003100_08</t>
  </si>
  <si>
    <t>PL_ZEWD_1418003105_08</t>
  </si>
  <si>
    <t>PL_ZEWD_1418003109_06</t>
  </si>
  <si>
    <t>10 kl. II</t>
  </si>
  <si>
    <t>10 kl. I</t>
  </si>
  <si>
    <t>PL_ZEWD_1418003104_06</t>
  </si>
  <si>
    <t>PL_ZEWD_1418003048_02</t>
  </si>
  <si>
    <t>PL_ZEWD_1418003499_01</t>
  </si>
  <si>
    <t>PL_ZEWD_1418003146_06</t>
  </si>
  <si>
    <t>ZAŁĄCZNIK nr 1 - LISTA OBIEKTÓW I PUNKTÓW POBORU.</t>
  </si>
  <si>
    <t>Pozstałe obiekty</t>
  </si>
  <si>
    <t>42 a</t>
  </si>
  <si>
    <t>_00240230</t>
  </si>
  <si>
    <t>Lipowa</t>
  </si>
  <si>
    <t>8a</t>
  </si>
  <si>
    <t>Bąkówka</t>
  </si>
  <si>
    <t>PL_ZEWD_1418004238_06</t>
  </si>
  <si>
    <t>PL_ZEWD_1418003231_05</t>
  </si>
  <si>
    <t>PL_ZEWD_1418004167_03</t>
  </si>
  <si>
    <t>PL_ZEWD_1418004089_07</t>
  </si>
  <si>
    <t>PL_ZEWD_1418004029_03</t>
  </si>
  <si>
    <t>PL_ZEWD_1418004086_01</t>
  </si>
  <si>
    <t>PL_ZEWD_1418004077_04</t>
  </si>
  <si>
    <t>OSP Piaseczno</t>
  </si>
  <si>
    <t>Dworcowa</t>
  </si>
  <si>
    <t>Okulickiego</t>
  </si>
  <si>
    <t>Skate Park</t>
  </si>
  <si>
    <t>Julianowska</t>
  </si>
  <si>
    <t>PL_ZEWD_1418004598_04</t>
  </si>
  <si>
    <t>PL_ZEWD_1418004653_06</t>
  </si>
  <si>
    <t>PL_ZEWD_1418004632_06</t>
  </si>
  <si>
    <t>PL_ZEWD_1418004629_01</t>
  </si>
  <si>
    <t>PL_ZEWD_1418004630_02</t>
  </si>
  <si>
    <t>PL_ZEWD_1418004606_07</t>
  </si>
  <si>
    <t>PL_ZEWD_1418001404_06</t>
  </si>
  <si>
    <t>PL_ZEWD_1418001403_04</t>
  </si>
  <si>
    <t>Kormoranów</t>
  </si>
  <si>
    <t>OBIEKTY GMINNE - szkoły, przedszkola, biblioteki, świetlice, budynki komunalne, CK, GOSiR, OSP.</t>
  </si>
  <si>
    <t>Bobrowiec</t>
  </si>
  <si>
    <t>Pozostałe obekty</t>
  </si>
  <si>
    <t xml:space="preserve">Płatnik i adres do korespondencji: </t>
  </si>
  <si>
    <t>Płatnik i adres do korespondencji:</t>
  </si>
  <si>
    <t>Gmina Piaseczno, ul. Kościuszki 5, 05 - 500 Piaseczno</t>
  </si>
  <si>
    <t>Gminny Ośrodek Sportu i Rekreacji, ul. Gen. Wł. Sikorskiego 20, 05-500 Piaseczno</t>
  </si>
  <si>
    <t>Przedszkole nr 1 w Piasecznie, ul. Wacława Kauna 4, 05 - 500 Piaseczno</t>
  </si>
  <si>
    <t>Przedszkole nr 4 w Piasecznie, ul. Fabryczna 13, 05 - 500 Piaseczno</t>
  </si>
  <si>
    <t>Przedszkole nr 6 w Głoskowie, ul. Parkowa 8, 05 - 503 Głosków</t>
  </si>
  <si>
    <t>Centrum Kultury w Piasecznie, ul. Kościuszki 49, 05-500 Piaseczno</t>
  </si>
  <si>
    <t>Biblioteka Publiczna Miasta i Gminy Piaseczno, ul. Kościuszki 49, 05-500 Piaseczno</t>
  </si>
  <si>
    <t>2. FAKTURA VAT: Biblioteka Publiczna Miasta i Gminy Piaseczno, NIP 123 12 35 040</t>
  </si>
  <si>
    <t>1. FAKTURA VAT: Nabywca: Centrum Kultury w Piasecznie, NIP 123 12 35 005</t>
  </si>
  <si>
    <t>3. FAKTURA VAT: Nabywca: Gmina Piaseczno, NIP 123 121 09 62</t>
  </si>
  <si>
    <t>4. FAKTURA VAT: Nabywca: Gmina Piaseczno, NIP 123 121 09 62</t>
  </si>
  <si>
    <t>5. FAKTURA VAT: Nabywca: Gmina Piaseczno, NIP 123 121 09 62</t>
  </si>
  <si>
    <t>6. FAKTURA VAT: Nabywca: Gmina Piaseczno, NIP 123 121 09 62</t>
  </si>
  <si>
    <t>7. FAKTURA VAT: Nabywca: Gmina Piaseczno, NIP 123 121 09 62</t>
  </si>
  <si>
    <t>8. FAKTURA VAT: Nabywca: Gmina Piaseczno, NIP 123 121 09 62</t>
  </si>
  <si>
    <t>9. FAKTURA VAT: Nabywca: Gmina Piaseczno, NIP 123 121 09 62</t>
  </si>
  <si>
    <t>10. FAKTURA VAT: Nabywca: Gmina Piaseczno, NIP 123 121 09 62</t>
  </si>
  <si>
    <t>11. FAKTURA VAT: Nabywca: Gmina Piaseczno, NIP 123 121 09 62</t>
  </si>
  <si>
    <t>12. FAKTURA VAT: Nabywca: Gmina Piaseczno, NIP 123 121 09 62</t>
  </si>
  <si>
    <t>13. FAKTURA VAT: Nabywca: Gmina Piaseczno, NIP 123 121 09 62</t>
  </si>
  <si>
    <t>14. FAKTURA VAT: Nabywca: Gmina Piaseczno, NIP 123 121 09 62</t>
  </si>
  <si>
    <t>15. FAKTURA VAT: Nabywca: Gmina Piaseczno, NIP 123 121 09 62</t>
  </si>
  <si>
    <t>16. FAKTURA VAT: Nabywca: Gmina Piaseczno, NIP 123 121 09 62</t>
  </si>
  <si>
    <t>17. FAKTURA VAT: Nabywca: Gmina Piaseczno, NIP 123 121 09 62</t>
  </si>
  <si>
    <t>18. FAKTURA VAT: Nabywca: Gmina Piaseczno, NIP 123 121 09 62</t>
  </si>
  <si>
    <t>19. FAKTURA VAT: Nabywca: Gmina Piaseczno, NIP 123 121 09 62</t>
  </si>
  <si>
    <t>20. FAKTURA VAT: Nabywca: Gmina Piaseczno, NIP 123 121 09 62</t>
  </si>
  <si>
    <t>21. FAKTURA VAT: Nabywca: Gmina Piaseczno, NIP 123 121 09 62</t>
  </si>
  <si>
    <t>22. FAKTURA VAT: Nabywca: Gmina Piaseczno, NIP 123 121 09 62</t>
  </si>
  <si>
    <t>23. FAKTURA VAT: Nabywca: Gmina Piaseczno, NIP 123 121 09 62</t>
  </si>
  <si>
    <t>24. FAKTURA VAT: Nabywca: Gmina Piaseczno, NIP 123 121 09 62</t>
  </si>
  <si>
    <t>25. FAKTURA VAT: Nabywca: Gmina Piaseczno, NIP 123 121 09 62</t>
  </si>
  <si>
    <t>26. FAKTURA VAT: Nabywca: Gmina Piaseczno, NIP 123 121 09 62</t>
  </si>
  <si>
    <t>27. FAKTURA VAT: Nabywca: Gmina Piaseczno, NIP 123 121 09 62</t>
  </si>
  <si>
    <t>28. FAKTURA VAT: Nabywca: Gmina Piaseczno, NIP 123 121 09 62</t>
  </si>
  <si>
    <t>PL_ZEWD_1418004910_08</t>
  </si>
  <si>
    <t>PL_ZEWD_1418004908_05</t>
  </si>
  <si>
    <t>PL_ZEWD_1418004915_08</t>
  </si>
  <si>
    <t>PL_ZEWD_1418004911_00</t>
  </si>
  <si>
    <t>dz. 65/1, 66/2</t>
  </si>
  <si>
    <t>OSP Jazagarzew</t>
  </si>
  <si>
    <t>Klub Kultury</t>
  </si>
  <si>
    <t>Szkoła Podstawowa w Złotokłosie</t>
  </si>
  <si>
    <t>Szkoła Podstawowa w Złotokłosie, ul. R. Traugutta 10, 05 - 504 Złotokłos</t>
  </si>
  <si>
    <t>Szkoła Podstawowa w Chylicach</t>
  </si>
  <si>
    <t>Szkoła Podstawowa w Jazgarzewie</t>
  </si>
  <si>
    <t>Szkoła Podstawowa w Józefosławiu</t>
  </si>
  <si>
    <t>Szkoła Podstawowa w Piasecznie</t>
  </si>
  <si>
    <t>PL_ZEWD_1418004943_01</t>
  </si>
  <si>
    <t xml:space="preserve">Jemioły </t>
  </si>
  <si>
    <t>Malinowa, Mieszków</t>
  </si>
  <si>
    <t>Dobra, Runów</t>
  </si>
  <si>
    <t xml:space="preserve">Pozostałe </t>
  </si>
  <si>
    <t>dz. 63/1</t>
  </si>
  <si>
    <t>29. FAKTURA VAT: Nabywca: Gmina Piaseczno, NIP 123 121 09 62</t>
  </si>
  <si>
    <t xml:space="preserve">Czajewicza </t>
  </si>
  <si>
    <t>1A</t>
  </si>
  <si>
    <t>PL_ZEWD_1418004448_01</t>
  </si>
  <si>
    <t xml:space="preserve">Puławska </t>
  </si>
  <si>
    <t>Przedszkole nr 10 w Piasecznie, ul. Nadarzyńska 54, 05 - 500 Piaseczno</t>
  </si>
  <si>
    <t>PL_ZEWD_1418092384_01</t>
  </si>
  <si>
    <t xml:space="preserve">Jana Pawła II </t>
  </si>
  <si>
    <t>PL_ZEWD_1418094015_00</t>
  </si>
  <si>
    <t>00159423</t>
  </si>
  <si>
    <t>00151802</t>
  </si>
  <si>
    <t>04143336</t>
  </si>
  <si>
    <t>04099806</t>
  </si>
  <si>
    <t>04099799</t>
  </si>
  <si>
    <t>00235611</t>
  </si>
  <si>
    <t>00907271</t>
  </si>
  <si>
    <t>00152290</t>
  </si>
  <si>
    <t>00518005</t>
  </si>
  <si>
    <t>00235614</t>
  </si>
  <si>
    <t>04099808</t>
  </si>
  <si>
    <t>00235533</t>
  </si>
  <si>
    <t>00235538</t>
  </si>
  <si>
    <t>00235619</t>
  </si>
  <si>
    <t>04138878</t>
  </si>
  <si>
    <t>PL_ZEWD_1418042344_05</t>
  </si>
  <si>
    <t>Kolejna</t>
  </si>
  <si>
    <t>04143344</t>
  </si>
  <si>
    <t>04143292</t>
  </si>
  <si>
    <t>04097558</t>
  </si>
  <si>
    <t>00439952</t>
  </si>
  <si>
    <t>04097566</t>
  </si>
  <si>
    <t>04142712</t>
  </si>
  <si>
    <t>04099863</t>
  </si>
  <si>
    <t>04097533</t>
  </si>
  <si>
    <t>PL_ZEWD_1418094818_00</t>
  </si>
  <si>
    <t>04099870</t>
  </si>
  <si>
    <t>PL_ZEWD_1418004631_04</t>
  </si>
  <si>
    <t>PL_ZEWD_1418003122_00</t>
  </si>
  <si>
    <t>01862849</t>
  </si>
  <si>
    <t>01863135</t>
  </si>
  <si>
    <t>01863066</t>
  </si>
  <si>
    <t>25150867</t>
  </si>
  <si>
    <t>01863262</t>
  </si>
  <si>
    <t>01862925</t>
  </si>
  <si>
    <t>01863008</t>
  </si>
  <si>
    <t>01863159</t>
  </si>
  <si>
    <t>01863044</t>
  </si>
  <si>
    <t xml:space="preserve">PL_ZEWD_1418005688_00 </t>
  </si>
  <si>
    <t>Centrum Edukacyjno Multimedialne</t>
  </si>
  <si>
    <t>Obiekty inne</t>
  </si>
  <si>
    <t>Przedszkole nr 10</t>
  </si>
  <si>
    <t>Szkoła Podstawowa nr 1 im. Józefa Piłsudskiego w Piasecznie, ul. Świętojańska 18, 05 - 500 Piaseczno</t>
  </si>
  <si>
    <t>Szkoła Podstawowa im. ks. Jana Twardowskiego w Chylicach, ul. Dworska 2, 05 - 510 Konstancin - Jeziorna</t>
  </si>
  <si>
    <t>Szkoła Podstawowa im. Janusza Korczaka w Józefosławiu, ul. Kameralna 11, 05 - 509 Piaseczno</t>
  </si>
  <si>
    <t>Szkoła Podstawowa nr 5 im. Krzysztofa Kamila Baczyńskiego w Piasecznie, ul. Szkolna 14, 05 - 500 Piaseczno</t>
  </si>
  <si>
    <t>Szkoła Podstawowa im. Księdza Kardynała Stefana Wyszyńskiego Prymasa Tysiąclecia w Jazgarzewie, ul. Szkolna 10, 05 - 502 Jazgarzew</t>
  </si>
  <si>
    <t>Szkoła Podstawowa im. T. Kościuszki w Głoskowie, ul. Millenium 76, 05 - 503 Głosków</t>
  </si>
  <si>
    <t>Szkoła Podstawowa nr 3 im. Tadeusza Zawadzkiego "Zośki" w Piasecznie, ul. Główna 50, 05 - 502 Piaseczno</t>
  </si>
  <si>
    <t>Szkoła Podstawowa im. Wspólnej Europy w Zalesiu Górnym, ul. Sarenki 20, 05 - 540 Zalesie Górne</t>
  </si>
  <si>
    <t>Szkoła Podstawowa nr 2 im. Ewy Krauze w Piasecznie, Aleja Kasztanów 12, 05 - 501 Piaseczno</t>
  </si>
  <si>
    <t>PL_ZEWD_1418016186_09</t>
  </si>
  <si>
    <t>PL_ZEWD_1418097690_01</t>
  </si>
  <si>
    <t>94618032</t>
  </si>
  <si>
    <t>15 a</t>
  </si>
  <si>
    <t>PL_ZEWD_1418097598_09</t>
  </si>
  <si>
    <t>_94713029</t>
  </si>
  <si>
    <t>Lechitów</t>
  </si>
  <si>
    <t>PL_ZEWD_1418082734_02</t>
  </si>
  <si>
    <t>_92432800</t>
  </si>
  <si>
    <t>PL_ZEWD_1418096071_00</t>
  </si>
  <si>
    <t>Przedszkole nr 2 w Piasecznie, ul. Longinusa 25, 05 - 500 Piaseczno</t>
  </si>
  <si>
    <t>Przedszkole nr 3 w Piasecznie, ul. Jaworowa 4, 05 - 500 Piaseczno</t>
  </si>
  <si>
    <t>Przedszkole nr 7 w Zalesiu Górnym, ul. Młodych Wilcząt 7, 05 - 540 Zalesie Górne</t>
  </si>
  <si>
    <t>Przedszkole nr 8 w Piasecznie, ul. Księcia Józefa 19, 05 - 500 Piaseczno</t>
  </si>
  <si>
    <t>Przedszkole nr 9 w Piasecznie, ul. Miriama Przesmyckiego 100/101, 05 - 500 Piaseczno</t>
  </si>
  <si>
    <t>Przedszkole nr 11 "Nefrytowy Zakątek" w Piasecznie, ul. Nefrytowa 14, 05 - 500 Piaseczno</t>
  </si>
  <si>
    <t>12 miesięcy</t>
  </si>
  <si>
    <t>Centrum Kultury</t>
  </si>
  <si>
    <t>Urzędy</t>
  </si>
  <si>
    <t>szacowane zużycie energii [kWh] w okresie 12 miesięcy</t>
  </si>
  <si>
    <t>Dworzec PKP</t>
  </si>
  <si>
    <t>Cmentarz</t>
  </si>
  <si>
    <t>Targowisko</t>
  </si>
  <si>
    <t>suma szacowanego zużycia energii [kWh] w okresie od 01.01.2021 r. do 31.12.2022 r.</t>
  </si>
  <si>
    <t>Oświata</t>
  </si>
  <si>
    <t>SZACUNKOWE ZUŻYCIE ENERGII W OKRESIE 24 MIESIĘCY</t>
  </si>
  <si>
    <t>30. FAKTURA VAT: Nabywca: Gmina Piaseczno, NIP 123 121 09 62</t>
  </si>
  <si>
    <t>31. FAKTURA VAT: Biblioteka Publiczna Miasta i Gminy Piaseczno, NIP 123 12 35 040</t>
  </si>
  <si>
    <t>FAKTURY VAT - 31 faktur wg adresów podanych przy kolejnej grupie obiektów.</t>
  </si>
  <si>
    <t>Kamera</t>
  </si>
  <si>
    <t>Chyliczkowska Park tył</t>
  </si>
  <si>
    <t>PPE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</si>
</sst>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  <numFmt numFmtId="180" formatCode="[$-415]dddd\,\ d\ mmmm\ yyyy"/>
    <numFmt numFmtId="181" formatCode="#,##0.00\ &quot;zł&quot;"/>
    <numFmt numFmtId="182" formatCode="#,##0.00000"/>
    <numFmt numFmtId="183" formatCode="_-* #,##0.00000\ _z_ł_-;\-* #,##0.00000\ _z_ł_-;_-* &quot;-&quot;?????\ _z_ł_-;_-@_-"/>
    <numFmt numFmtId="184" formatCode="_-* #,##0.0\ _z_ł_-;\-* #,##0.0\ _z_ł_-;_-* &quot;-&quot;??\ _z_ł_-;_-@_-"/>
    <numFmt numFmtId="185" formatCode="_-* #,##0\ _z_ł_-;\-* #,##0\ _z_ł_-;_-* &quot;-&quot;??\ _z_ł_-;_-@_-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24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4" fillId="44" borderId="0" applyNumberFormat="0" applyBorder="0" applyAlignment="0" applyProtection="0"/>
  </cellStyleXfs>
  <cellXfs count="208">
    <xf numFmtId="0" fontId="0" fillId="0" borderId="0" xfId="0" applyAlignment="1">
      <alignment/>
    </xf>
    <xf numFmtId="4" fontId="2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45" borderId="0" xfId="72" applyNumberFormat="1" applyFont="1" applyFill="1" applyBorder="1" applyAlignment="1">
      <alignment horizontal="left" vertical="center"/>
      <protection/>
    </xf>
    <xf numFmtId="4" fontId="0" fillId="45" borderId="0" xfId="72" applyNumberFormat="1" applyFont="1" applyFill="1" applyBorder="1" applyAlignment="1">
      <alignment horizontal="center" vertical="center"/>
      <protection/>
    </xf>
    <xf numFmtId="4" fontId="0" fillId="45" borderId="0" xfId="72" applyNumberFormat="1" applyFont="1" applyFill="1" applyBorder="1" applyAlignment="1">
      <alignment horizontal="right" vertical="center"/>
      <protection/>
    </xf>
    <xf numFmtId="4" fontId="23" fillId="45" borderId="0" xfId="72" applyNumberFormat="1" applyFont="1" applyFill="1" applyBorder="1" applyAlignment="1">
      <alignment horizontal="center" vertical="center"/>
      <protection/>
    </xf>
    <xf numFmtId="4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 applyProtection="1">
      <alignment horizontal="left" vertical="center" wrapText="1" shrinkToFit="1"/>
      <protection/>
    </xf>
    <xf numFmtId="4" fontId="0" fillId="0" borderId="10" xfId="73" applyNumberFormat="1" applyFont="1" applyFill="1" applyBorder="1" applyAlignment="1" applyProtection="1">
      <alignment horizontal="left" vertical="center" wrapText="1"/>
      <protection/>
    </xf>
    <xf numFmtId="4" fontId="0" fillId="0" borderId="10" xfId="73" applyNumberFormat="1" applyFont="1" applyFill="1" applyBorder="1" applyAlignment="1" applyProtection="1">
      <alignment horizontal="right" vertical="center" wrapText="1"/>
      <protection/>
    </xf>
    <xf numFmtId="4" fontId="0" fillId="14" borderId="10" xfId="73" applyNumberFormat="1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45" borderId="0" xfId="72" applyNumberFormat="1" applyFont="1" applyFill="1" applyBorder="1" applyAlignment="1">
      <alignment horizontal="center" vertical="center"/>
      <protection/>
    </xf>
    <xf numFmtId="0" fontId="0" fillId="0" borderId="10" xfId="7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26" fillId="45" borderId="0" xfId="72" applyNumberFormat="1" applyFont="1" applyFill="1" applyBorder="1" applyAlignment="1">
      <alignment horizontal="center" vertical="center"/>
      <protection/>
    </xf>
    <xf numFmtId="43" fontId="23" fillId="45" borderId="0" xfId="61" applyFont="1" applyFill="1" applyBorder="1" applyAlignment="1">
      <alignment horizontal="right" vertical="center"/>
    </xf>
    <xf numFmtId="43" fontId="26" fillId="45" borderId="0" xfId="61" applyFont="1" applyFill="1" applyBorder="1" applyAlignment="1">
      <alignment horizontal="right" vertical="center"/>
    </xf>
    <xf numFmtId="43" fontId="22" fillId="0" borderId="0" xfId="61" applyFont="1" applyAlignment="1">
      <alignment horizontal="right"/>
    </xf>
    <xf numFmtId="43" fontId="0" fillId="0" borderId="0" xfId="61" applyFont="1" applyAlignment="1">
      <alignment horizontal="right"/>
    </xf>
    <xf numFmtId="4" fontId="28" fillId="0" borderId="0" xfId="0" applyNumberFormat="1" applyFont="1" applyAlignment="1">
      <alignment/>
    </xf>
    <xf numFmtId="4" fontId="27" fillId="46" borderId="11" xfId="73" applyNumberFormat="1" applyFont="1" applyFill="1" applyBorder="1" applyAlignment="1">
      <alignment horizontal="left" vertical="center"/>
      <protection/>
    </xf>
    <xf numFmtId="0" fontId="27" fillId="46" borderId="11" xfId="73" applyNumberFormat="1" applyFont="1" applyFill="1" applyBorder="1" applyAlignment="1">
      <alignment horizontal="left" vertical="center"/>
      <protection/>
    </xf>
    <xf numFmtId="43" fontId="27" fillId="46" borderId="11" xfId="61" applyFont="1" applyFill="1" applyBorder="1" applyAlignment="1">
      <alignment horizontal="right" vertical="center"/>
    </xf>
    <xf numFmtId="4" fontId="27" fillId="46" borderId="12" xfId="73" applyNumberFormat="1" applyFont="1" applyFill="1" applyBorder="1" applyAlignment="1">
      <alignment horizontal="left" vertical="center"/>
      <protection/>
    </xf>
    <xf numFmtId="3" fontId="21" fillId="45" borderId="13" xfId="72" applyNumberFormat="1" applyFont="1" applyFill="1" applyBorder="1" applyAlignment="1">
      <alignment horizontal="center"/>
      <protection/>
    </xf>
    <xf numFmtId="4" fontId="0" fillId="45" borderId="14" xfId="72" applyNumberFormat="1" applyFont="1" applyFill="1" applyBorder="1" applyAlignment="1">
      <alignment horizontal="center"/>
      <protection/>
    </xf>
    <xf numFmtId="3" fontId="0" fillId="0" borderId="15" xfId="73" applyNumberFormat="1" applyFont="1" applyFill="1" applyBorder="1" applyAlignment="1" applyProtection="1">
      <alignment horizontal="center" vertical="center" wrapText="1"/>
      <protection/>
    </xf>
    <xf numFmtId="3" fontId="25" fillId="45" borderId="13" xfId="72" applyNumberFormat="1" applyFont="1" applyFill="1" applyBorder="1" applyAlignment="1">
      <alignment horizontal="center"/>
      <protection/>
    </xf>
    <xf numFmtId="43" fontId="26" fillId="45" borderId="0" xfId="61" applyFont="1" applyFill="1" applyBorder="1" applyAlignment="1">
      <alignment vertical="center"/>
    </xf>
    <xf numFmtId="3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43" fontId="0" fillId="0" borderId="17" xfId="61" applyFont="1" applyBorder="1" applyAlignment="1">
      <alignment horizontal="right"/>
    </xf>
    <xf numFmtId="3" fontId="27" fillId="46" borderId="11" xfId="73" applyNumberFormat="1" applyFont="1" applyFill="1" applyBorder="1" applyAlignment="1">
      <alignment horizontal="left" vertical="center"/>
      <protection/>
    </xf>
    <xf numFmtId="0" fontId="0" fillId="0" borderId="17" xfId="0" applyNumberFormat="1" applyFont="1" applyBorder="1" applyAlignment="1">
      <alignment/>
    </xf>
    <xf numFmtId="0" fontId="0" fillId="45" borderId="0" xfId="72" applyNumberFormat="1" applyFont="1" applyFill="1" applyBorder="1" applyAlignment="1">
      <alignment horizontal="right" vertical="center"/>
      <protection/>
    </xf>
    <xf numFmtId="0" fontId="0" fillId="0" borderId="10" xfId="73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27" fillId="46" borderId="11" xfId="73" applyNumberFormat="1" applyFont="1" applyFill="1" applyBorder="1" applyAlignment="1">
      <alignment horizontal="center" vertical="center"/>
      <protection/>
    </xf>
    <xf numFmtId="0" fontId="26" fillId="45" borderId="0" xfId="72" applyNumberFormat="1" applyFont="1" applyFill="1" applyBorder="1" applyAlignment="1">
      <alignment horizontal="center" vertical="center"/>
      <protection/>
    </xf>
    <xf numFmtId="0" fontId="0" fillId="0" borderId="17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43" fontId="22" fillId="45" borderId="0" xfId="61" applyFont="1" applyFill="1" applyBorder="1" applyAlignment="1">
      <alignment horizontal="right" vertical="center"/>
    </xf>
    <xf numFmtId="3" fontId="28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" fontId="0" fillId="0" borderId="18" xfId="73" applyNumberFormat="1" applyFont="1" applyFill="1" applyBorder="1" applyAlignment="1" applyProtection="1">
      <alignment horizontal="left" vertical="center" wrapText="1" shrinkToFit="1"/>
      <protection/>
    </xf>
    <xf numFmtId="0" fontId="0" fillId="0" borderId="19" xfId="73" applyNumberFormat="1" applyFont="1" applyFill="1" applyBorder="1" applyAlignment="1" applyProtection="1">
      <alignment horizontal="center" vertical="center" wrapText="1"/>
      <protection/>
    </xf>
    <xf numFmtId="43" fontId="45" fillId="45" borderId="0" xfId="61" applyFont="1" applyFill="1" applyBorder="1" applyAlignment="1">
      <alignment horizontal="right" vertical="center"/>
    </xf>
    <xf numFmtId="3" fontId="32" fillId="47" borderId="15" xfId="72" applyNumberFormat="1" applyFont="1" applyFill="1" applyBorder="1" applyAlignment="1">
      <alignment horizontal="center"/>
      <protection/>
    </xf>
    <xf numFmtId="4" fontId="33" fillId="48" borderId="10" xfId="72" applyNumberFormat="1" applyFont="1" applyFill="1" applyBorder="1" applyAlignment="1">
      <alignment horizontal="left" vertical="center"/>
      <protection/>
    </xf>
    <xf numFmtId="0" fontId="33" fillId="48" borderId="10" xfId="72" applyNumberFormat="1" applyFont="1" applyFill="1" applyBorder="1" applyAlignment="1">
      <alignment horizontal="center" vertical="center"/>
      <protection/>
    </xf>
    <xf numFmtId="4" fontId="33" fillId="48" borderId="10" xfId="72" applyNumberFormat="1" applyFont="1" applyFill="1" applyBorder="1" applyAlignment="1">
      <alignment horizontal="center" vertical="center"/>
      <protection/>
    </xf>
    <xf numFmtId="4" fontId="33" fillId="41" borderId="10" xfId="72" applyNumberFormat="1" applyFont="1" applyFill="1" applyBorder="1" applyAlignment="1">
      <alignment horizontal="right" vertical="center"/>
      <protection/>
    </xf>
    <xf numFmtId="49" fontId="33" fillId="48" borderId="10" xfId="72" applyNumberFormat="1" applyFont="1" applyFill="1" applyBorder="1" applyAlignment="1">
      <alignment horizontal="right" vertical="center"/>
      <protection/>
    </xf>
    <xf numFmtId="4" fontId="32" fillId="48" borderId="10" xfId="72" applyNumberFormat="1" applyFont="1" applyFill="1" applyBorder="1" applyAlignment="1">
      <alignment horizontal="center" vertical="center"/>
      <protection/>
    </xf>
    <xf numFmtId="43" fontId="33" fillId="48" borderId="10" xfId="61" applyFont="1" applyFill="1" applyBorder="1" applyAlignment="1">
      <alignment horizontal="right" vertical="center"/>
    </xf>
    <xf numFmtId="43" fontId="32" fillId="41" borderId="10" xfId="61" applyFont="1" applyFill="1" applyBorder="1" applyAlignment="1">
      <alignment horizontal="right" vertical="center"/>
    </xf>
    <xf numFmtId="3" fontId="33" fillId="0" borderId="0" xfId="0" applyNumberFormat="1" applyFont="1" applyFill="1" applyAlignment="1">
      <alignment/>
    </xf>
    <xf numFmtId="0" fontId="33" fillId="41" borderId="10" xfId="72" applyNumberFormat="1" applyFont="1" applyFill="1" applyBorder="1" applyAlignment="1">
      <alignment horizontal="right" vertical="center"/>
      <protection/>
    </xf>
    <xf numFmtId="4" fontId="33" fillId="0" borderId="1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48" borderId="10" xfId="72" applyNumberFormat="1" applyFont="1" applyFill="1" applyBorder="1" applyAlignment="1">
      <alignment horizontal="right" vertical="center"/>
      <protection/>
    </xf>
    <xf numFmtId="43" fontId="32" fillId="48" borderId="10" xfId="6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/>
    </xf>
    <xf numFmtId="0" fontId="33" fillId="49" borderId="10" xfId="72" applyNumberFormat="1" applyFont="1" applyFill="1" applyBorder="1" applyAlignment="1">
      <alignment horizontal="right" vertical="center"/>
      <protection/>
    </xf>
    <xf numFmtId="4" fontId="33" fillId="49" borderId="10" xfId="72" applyNumberFormat="1" applyFont="1" applyFill="1" applyBorder="1" applyAlignment="1">
      <alignment horizontal="center" vertical="center"/>
      <protection/>
    </xf>
    <xf numFmtId="0" fontId="33" fillId="49" borderId="10" xfId="72" applyNumberFormat="1" applyFont="1" applyFill="1" applyBorder="1" applyAlignment="1">
      <alignment horizontal="center" vertical="center"/>
      <protection/>
    </xf>
    <xf numFmtId="4" fontId="32" fillId="49" borderId="10" xfId="72" applyNumberFormat="1" applyFont="1" applyFill="1" applyBorder="1" applyAlignment="1">
      <alignment horizontal="center" vertical="center"/>
      <protection/>
    </xf>
    <xf numFmtId="43" fontId="32" fillId="6" borderId="10" xfId="61" applyFont="1" applyFill="1" applyBorder="1" applyAlignment="1">
      <alignment horizontal="right" vertical="center"/>
    </xf>
    <xf numFmtId="43" fontId="32" fillId="49" borderId="10" xfId="61" applyFont="1" applyFill="1" applyBorder="1" applyAlignment="1">
      <alignment horizontal="right" vertical="center"/>
    </xf>
    <xf numFmtId="4" fontId="33" fillId="49" borderId="10" xfId="72" applyNumberFormat="1" applyFont="1" applyFill="1" applyBorder="1" applyAlignment="1">
      <alignment horizontal="left" vertical="center"/>
      <protection/>
    </xf>
    <xf numFmtId="4" fontId="33" fillId="49" borderId="10" xfId="72" applyNumberFormat="1" applyFont="1" applyFill="1" applyBorder="1" applyAlignment="1">
      <alignment horizontal="right" vertical="center"/>
      <protection/>
    </xf>
    <xf numFmtId="49" fontId="33" fillId="49" borderId="10" xfId="72" applyNumberFormat="1" applyFont="1" applyFill="1" applyBorder="1" applyAlignment="1">
      <alignment horizontal="right" vertical="center"/>
      <protection/>
    </xf>
    <xf numFmtId="4" fontId="33" fillId="0" borderId="10" xfId="72" applyNumberFormat="1" applyFont="1" applyFill="1" applyBorder="1" applyAlignment="1">
      <alignment horizontal="left" vertical="center"/>
      <protection/>
    </xf>
    <xf numFmtId="0" fontId="33" fillId="0" borderId="10" xfId="72" applyNumberFormat="1" applyFont="1" applyFill="1" applyBorder="1" applyAlignment="1">
      <alignment horizontal="center" vertical="center"/>
      <protection/>
    </xf>
    <xf numFmtId="4" fontId="33" fillId="0" borderId="10" xfId="72" applyNumberFormat="1" applyFont="1" applyFill="1" applyBorder="1" applyAlignment="1">
      <alignment horizontal="center" vertical="center"/>
      <protection/>
    </xf>
    <xf numFmtId="4" fontId="33" fillId="0" borderId="10" xfId="72" applyNumberFormat="1" applyFont="1" applyFill="1" applyBorder="1" applyAlignment="1">
      <alignment horizontal="right" vertical="center"/>
      <protection/>
    </xf>
    <xf numFmtId="49" fontId="33" fillId="0" borderId="10" xfId="72" applyNumberFormat="1" applyFont="1" applyFill="1" applyBorder="1" applyAlignment="1">
      <alignment horizontal="right" vertical="center"/>
      <protection/>
    </xf>
    <xf numFmtId="4" fontId="32" fillId="0" borderId="10" xfId="72" applyNumberFormat="1" applyFont="1" applyFill="1" applyBorder="1" applyAlignment="1">
      <alignment horizontal="center" vertical="center"/>
      <protection/>
    </xf>
    <xf numFmtId="43" fontId="33" fillId="0" borderId="10" xfId="61" applyFont="1" applyFill="1" applyBorder="1" applyAlignment="1">
      <alignment horizontal="right" vertical="center"/>
    </xf>
    <xf numFmtId="43" fontId="32" fillId="0" borderId="10" xfId="61" applyFont="1" applyFill="1" applyBorder="1" applyAlignment="1">
      <alignment horizontal="right" vertical="center"/>
    </xf>
    <xf numFmtId="0" fontId="33" fillId="0" borderId="10" xfId="72" applyNumberFormat="1" applyFont="1" applyFill="1" applyBorder="1" applyAlignment="1">
      <alignment horizontal="right" vertical="center"/>
      <protection/>
    </xf>
    <xf numFmtId="3" fontId="33" fillId="47" borderId="15" xfId="72" applyNumberFormat="1" applyFont="1" applyFill="1" applyBorder="1" applyAlignment="1">
      <alignment horizontal="center"/>
      <protection/>
    </xf>
    <xf numFmtId="43" fontId="33" fillId="0" borderId="10" xfId="72" applyNumberFormat="1" applyFont="1" applyFill="1" applyBorder="1" applyAlignment="1">
      <alignment horizontal="left" vertical="center"/>
      <protection/>
    </xf>
    <xf numFmtId="3" fontId="32" fillId="47" borderId="20" xfId="72" applyNumberFormat="1" applyFont="1" applyFill="1" applyBorder="1" applyAlignment="1">
      <alignment horizontal="center"/>
      <protection/>
    </xf>
    <xf numFmtId="4" fontId="33" fillId="20" borderId="21" xfId="72" applyNumberFormat="1" applyFont="1" applyFill="1" applyBorder="1" applyAlignment="1">
      <alignment horizontal="left" vertical="center"/>
      <protection/>
    </xf>
    <xf numFmtId="0" fontId="33" fillId="20" borderId="21" xfId="72" applyNumberFormat="1" applyFont="1" applyFill="1" applyBorder="1" applyAlignment="1">
      <alignment horizontal="center" vertical="center"/>
      <protection/>
    </xf>
    <xf numFmtId="4" fontId="33" fillId="20" borderId="21" xfId="72" applyNumberFormat="1" applyFont="1" applyFill="1" applyBorder="1" applyAlignment="1">
      <alignment horizontal="center" vertical="center"/>
      <protection/>
    </xf>
    <xf numFmtId="4" fontId="33" fillId="20" borderId="10" xfId="72" applyNumberFormat="1" applyFont="1" applyFill="1" applyBorder="1" applyAlignment="1">
      <alignment horizontal="right" vertical="center"/>
      <protection/>
    </xf>
    <xf numFmtId="0" fontId="33" fillId="20" borderId="21" xfId="72" applyNumberFormat="1" applyFont="1" applyFill="1" applyBorder="1" applyAlignment="1">
      <alignment horizontal="right" vertical="center"/>
      <protection/>
    </xf>
    <xf numFmtId="4" fontId="32" fillId="20" borderId="21" xfId="72" applyNumberFormat="1" applyFont="1" applyFill="1" applyBorder="1" applyAlignment="1">
      <alignment horizontal="center" vertical="center"/>
      <protection/>
    </xf>
    <xf numFmtId="43" fontId="32" fillId="20" borderId="10" xfId="61" applyFont="1" applyFill="1" applyBorder="1" applyAlignment="1">
      <alignment horizontal="right" vertical="center"/>
    </xf>
    <xf numFmtId="43" fontId="32" fillId="20" borderId="21" xfId="61" applyFont="1" applyFill="1" applyBorder="1" applyAlignment="1">
      <alignment horizontal="right" vertical="center"/>
    </xf>
    <xf numFmtId="4" fontId="33" fillId="20" borderId="10" xfId="72" applyNumberFormat="1" applyFont="1" applyFill="1" applyBorder="1" applyAlignment="1">
      <alignment horizontal="left" vertical="center"/>
      <protection/>
    </xf>
    <xf numFmtId="0" fontId="33" fillId="20" borderId="10" xfId="72" applyNumberFormat="1" applyFont="1" applyFill="1" applyBorder="1" applyAlignment="1">
      <alignment horizontal="center" vertical="center"/>
      <protection/>
    </xf>
    <xf numFmtId="4" fontId="33" fillId="20" borderId="10" xfId="72" applyNumberFormat="1" applyFont="1" applyFill="1" applyBorder="1" applyAlignment="1">
      <alignment horizontal="center" vertical="center"/>
      <protection/>
    </xf>
    <xf numFmtId="4" fontId="33" fillId="20" borderId="22" xfId="72" applyNumberFormat="1" applyFont="1" applyFill="1" applyBorder="1" applyAlignment="1">
      <alignment horizontal="right" vertical="center"/>
      <protection/>
    </xf>
    <xf numFmtId="0" fontId="33" fillId="20" borderId="10" xfId="72" applyNumberFormat="1" applyFont="1" applyFill="1" applyBorder="1" applyAlignment="1">
      <alignment horizontal="right" vertical="center"/>
      <protection/>
    </xf>
    <xf numFmtId="4" fontId="32" fillId="20" borderId="10" xfId="72" applyNumberFormat="1" applyFont="1" applyFill="1" applyBorder="1" applyAlignment="1">
      <alignment horizontal="center" vertical="center"/>
      <protection/>
    </xf>
    <xf numFmtId="3" fontId="32" fillId="47" borderId="23" xfId="72" applyNumberFormat="1" applyFont="1" applyFill="1" applyBorder="1" applyAlignment="1">
      <alignment horizontal="center"/>
      <protection/>
    </xf>
    <xf numFmtId="4" fontId="33" fillId="20" borderId="24" xfId="72" applyNumberFormat="1" applyFont="1" applyFill="1" applyBorder="1" applyAlignment="1">
      <alignment horizontal="left" vertical="center"/>
      <protection/>
    </xf>
    <xf numFmtId="0" fontId="33" fillId="20" borderId="24" xfId="72" applyNumberFormat="1" applyFont="1" applyFill="1" applyBorder="1" applyAlignment="1">
      <alignment horizontal="center" vertical="center"/>
      <protection/>
    </xf>
    <xf numFmtId="4" fontId="33" fillId="20" borderId="24" xfId="72" applyNumberFormat="1" applyFont="1" applyFill="1" applyBorder="1" applyAlignment="1">
      <alignment horizontal="center" vertical="center"/>
      <protection/>
    </xf>
    <xf numFmtId="4" fontId="33" fillId="20" borderId="24" xfId="72" applyNumberFormat="1" applyFont="1" applyFill="1" applyBorder="1" applyAlignment="1">
      <alignment horizontal="right" vertical="center"/>
      <protection/>
    </xf>
    <xf numFmtId="0" fontId="33" fillId="20" borderId="24" xfId="72" applyNumberFormat="1" applyFont="1" applyFill="1" applyBorder="1" applyAlignment="1">
      <alignment horizontal="right" vertical="center"/>
      <protection/>
    </xf>
    <xf numFmtId="4" fontId="32" fillId="20" borderId="24" xfId="72" applyNumberFormat="1" applyFont="1" applyFill="1" applyBorder="1" applyAlignment="1">
      <alignment horizontal="center" vertical="center"/>
      <protection/>
    </xf>
    <xf numFmtId="43" fontId="32" fillId="20" borderId="24" xfId="61" applyFont="1" applyFill="1" applyBorder="1" applyAlignment="1">
      <alignment horizontal="right" vertical="center"/>
    </xf>
    <xf numFmtId="4" fontId="33" fillId="12" borderId="10" xfId="72" applyNumberFormat="1" applyFont="1" applyFill="1" applyBorder="1" applyAlignment="1">
      <alignment horizontal="left" vertical="center"/>
      <protection/>
    </xf>
    <xf numFmtId="0" fontId="33" fillId="12" borderId="10" xfId="72" applyNumberFormat="1" applyFont="1" applyFill="1" applyBorder="1" applyAlignment="1">
      <alignment horizontal="center" vertical="center"/>
      <protection/>
    </xf>
    <xf numFmtId="4" fontId="33" fillId="12" borderId="10" xfId="72" applyNumberFormat="1" applyFont="1" applyFill="1" applyBorder="1" applyAlignment="1">
      <alignment horizontal="center" vertical="center"/>
      <protection/>
    </xf>
    <xf numFmtId="4" fontId="33" fillId="12" borderId="10" xfId="72" applyNumberFormat="1" applyFont="1" applyFill="1" applyBorder="1" applyAlignment="1">
      <alignment horizontal="right" vertical="center"/>
      <protection/>
    </xf>
    <xf numFmtId="0" fontId="33" fillId="12" borderId="10" xfId="72" applyNumberFormat="1" applyFont="1" applyFill="1" applyBorder="1" applyAlignment="1">
      <alignment horizontal="right" vertical="center"/>
      <protection/>
    </xf>
    <xf numFmtId="4" fontId="32" fillId="12" borderId="10" xfId="72" applyNumberFormat="1" applyFont="1" applyFill="1" applyBorder="1" applyAlignment="1">
      <alignment horizontal="center" vertical="center"/>
      <protection/>
    </xf>
    <xf numFmtId="43" fontId="32" fillId="12" borderId="10" xfId="61" applyFont="1" applyFill="1" applyBorder="1" applyAlignment="1">
      <alignment horizontal="right" vertical="center"/>
    </xf>
    <xf numFmtId="49" fontId="33" fillId="12" borderId="10" xfId="72" applyNumberFormat="1" applyFont="1" applyFill="1" applyBorder="1" applyAlignment="1">
      <alignment horizontal="right" vertical="center"/>
      <protection/>
    </xf>
    <xf numFmtId="3" fontId="32" fillId="0" borderId="15" xfId="72" applyNumberFormat="1" applyFont="1" applyFill="1" applyBorder="1" applyAlignment="1">
      <alignment horizontal="center"/>
      <protection/>
    </xf>
    <xf numFmtId="4" fontId="33" fillId="0" borderId="0" xfId="0" applyNumberFormat="1" applyFont="1" applyFill="1" applyAlignment="1">
      <alignment/>
    </xf>
    <xf numFmtId="4" fontId="34" fillId="0" borderId="0" xfId="0" applyNumberFormat="1" applyFont="1" applyAlignment="1">
      <alignment/>
    </xf>
    <xf numFmtId="3" fontId="34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43" fontId="0" fillId="0" borderId="0" xfId="6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34" fillId="0" borderId="0" xfId="72" applyNumberFormat="1" applyFont="1" applyFill="1" applyBorder="1" applyAlignment="1">
      <alignment horizontal="left" vertical="center"/>
      <protection/>
    </xf>
    <xf numFmtId="43" fontId="33" fillId="0" borderId="0" xfId="6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/>
    </xf>
    <xf numFmtId="43" fontId="33" fillId="0" borderId="0" xfId="61" applyFont="1" applyFill="1" applyBorder="1" applyAlignment="1">
      <alignment horizontal="right" vertical="center"/>
    </xf>
    <xf numFmtId="4" fontId="34" fillId="0" borderId="0" xfId="72" applyNumberFormat="1" applyFont="1" applyFill="1" applyBorder="1" applyAlignment="1">
      <alignment horizontal="right" vertical="center"/>
      <protection/>
    </xf>
    <xf numFmtId="43" fontId="32" fillId="0" borderId="0" xfId="6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43" fontId="33" fillId="0" borderId="0" xfId="61" applyFont="1" applyBorder="1" applyAlignment="1">
      <alignment horizontal="right"/>
    </xf>
    <xf numFmtId="0" fontId="45" fillId="45" borderId="0" xfId="72" applyNumberFormat="1" applyFont="1" applyFill="1" applyBorder="1" applyAlignment="1">
      <alignment horizontal="center" vertical="center"/>
      <protection/>
    </xf>
    <xf numFmtId="4" fontId="33" fillId="12" borderId="24" xfId="72" applyNumberFormat="1" applyFont="1" applyFill="1" applyBorder="1" applyAlignment="1">
      <alignment horizontal="left" vertical="center"/>
      <protection/>
    </xf>
    <xf numFmtId="0" fontId="33" fillId="12" borderId="24" xfId="72" applyNumberFormat="1" applyFont="1" applyFill="1" applyBorder="1" applyAlignment="1">
      <alignment horizontal="center" vertical="center"/>
      <protection/>
    </xf>
    <xf numFmtId="4" fontId="33" fillId="12" borderId="24" xfId="72" applyNumberFormat="1" applyFont="1" applyFill="1" applyBorder="1" applyAlignment="1">
      <alignment horizontal="center" vertical="center"/>
      <protection/>
    </xf>
    <xf numFmtId="4" fontId="33" fillId="12" borderId="24" xfId="72" applyNumberFormat="1" applyFont="1" applyFill="1" applyBorder="1" applyAlignment="1">
      <alignment horizontal="right" vertical="center"/>
      <protection/>
    </xf>
    <xf numFmtId="0" fontId="33" fillId="12" borderId="24" xfId="72" applyNumberFormat="1" applyFont="1" applyFill="1" applyBorder="1" applyAlignment="1">
      <alignment horizontal="right" vertical="center"/>
      <protection/>
    </xf>
    <xf numFmtId="4" fontId="32" fillId="12" borderId="24" xfId="72" applyNumberFormat="1" applyFont="1" applyFill="1" applyBorder="1" applyAlignment="1">
      <alignment horizontal="center" vertical="center"/>
      <protection/>
    </xf>
    <xf numFmtId="43" fontId="32" fillId="12" borderId="24" xfId="61" applyFont="1" applyFill="1" applyBorder="1" applyAlignment="1">
      <alignment horizontal="right" vertical="center"/>
    </xf>
    <xf numFmtId="4" fontId="28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33" fillId="0" borderId="0" xfId="61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/>
    </xf>
    <xf numFmtId="4" fontId="34" fillId="0" borderId="0" xfId="72" applyNumberFormat="1" applyFont="1" applyFill="1" applyBorder="1" applyAlignment="1">
      <alignment horizontal="left" vertical="center"/>
      <protection/>
    </xf>
    <xf numFmtId="0" fontId="34" fillId="0" borderId="0" xfId="72" applyNumberFormat="1" applyFont="1" applyFill="1" applyBorder="1" applyAlignment="1">
      <alignment horizontal="center" vertical="center"/>
      <protection/>
    </xf>
    <xf numFmtId="4" fontId="33" fillId="0" borderId="0" xfId="7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4" fontId="22" fillId="0" borderId="0" xfId="72" applyNumberFormat="1" applyFont="1" applyFill="1" applyBorder="1" applyAlignment="1">
      <alignment horizontal="left" vertical="center"/>
      <protection/>
    </xf>
    <xf numFmtId="43" fontId="25" fillId="0" borderId="0" xfId="6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4" fontId="0" fillId="32" borderId="25" xfId="73" applyNumberFormat="1" applyFont="1" applyFill="1" applyBorder="1" applyAlignment="1">
      <alignment horizontal="center" vertical="center" wrapText="1"/>
      <protection/>
    </xf>
    <xf numFmtId="4" fontId="33" fillId="50" borderId="25" xfId="72" applyNumberFormat="1" applyFont="1" applyFill="1" applyBorder="1" applyAlignment="1">
      <alignment horizontal="center"/>
      <protection/>
    </xf>
    <xf numFmtId="4" fontId="33" fillId="48" borderId="25" xfId="72" applyNumberFormat="1" applyFont="1" applyFill="1" applyBorder="1" applyAlignment="1">
      <alignment horizontal="center"/>
      <protection/>
    </xf>
    <xf numFmtId="4" fontId="33" fillId="20" borderId="26" xfId="72" applyNumberFormat="1" applyFont="1" applyFill="1" applyBorder="1" applyAlignment="1">
      <alignment horizontal="center"/>
      <protection/>
    </xf>
    <xf numFmtId="4" fontId="33" fillId="20" borderId="25" xfId="72" applyNumberFormat="1" applyFont="1" applyFill="1" applyBorder="1" applyAlignment="1">
      <alignment horizontal="center"/>
      <protection/>
    </xf>
    <xf numFmtId="4" fontId="33" fillId="20" borderId="27" xfId="72" applyNumberFormat="1" applyFont="1" applyFill="1" applyBorder="1" applyAlignment="1">
      <alignment horizontal="center"/>
      <protection/>
    </xf>
    <xf numFmtId="4" fontId="33" fillId="49" borderId="25" xfId="72" applyNumberFormat="1" applyFont="1" applyFill="1" applyBorder="1" applyAlignment="1">
      <alignment horizontal="center"/>
      <protection/>
    </xf>
    <xf numFmtId="4" fontId="33" fillId="12" borderId="26" xfId="72" applyNumberFormat="1" applyFont="1" applyFill="1" applyBorder="1" applyAlignment="1">
      <alignment horizontal="center"/>
      <protection/>
    </xf>
    <xf numFmtId="4" fontId="33" fillId="12" borderId="25" xfId="72" applyNumberFormat="1" applyFont="1" applyFill="1" applyBorder="1" applyAlignment="1">
      <alignment horizontal="center"/>
      <protection/>
    </xf>
    <xf numFmtId="4" fontId="33" fillId="0" borderId="25" xfId="72" applyNumberFormat="1" applyFont="1" applyFill="1" applyBorder="1" applyAlignment="1">
      <alignment horizontal="center"/>
      <protection/>
    </xf>
    <xf numFmtId="4" fontId="0" fillId="0" borderId="28" xfId="0" applyNumberFormat="1" applyFont="1" applyBorder="1" applyAlignment="1">
      <alignment horizontal="left"/>
    </xf>
    <xf numFmtId="43" fontId="33" fillId="0" borderId="10" xfId="61" applyFont="1" applyBorder="1" applyAlignment="1">
      <alignment/>
    </xf>
    <xf numFmtId="182" fontId="0" fillId="0" borderId="0" xfId="0" applyNumberFormat="1" applyFont="1" applyFill="1" applyAlignment="1">
      <alignment/>
    </xf>
    <xf numFmtId="43" fontId="0" fillId="0" borderId="0" xfId="61" applyFont="1" applyBorder="1" applyAlignment="1">
      <alignment horizontal="right"/>
    </xf>
    <xf numFmtId="43" fontId="0" fillId="0" borderId="10" xfId="6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/>
    </xf>
    <xf numFmtId="3" fontId="33" fillId="0" borderId="10" xfId="0" applyNumberFormat="1" applyFont="1" applyFill="1" applyBorder="1" applyAlignment="1">
      <alignment horizontal="center"/>
    </xf>
    <xf numFmtId="4" fontId="33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185" fontId="26" fillId="45" borderId="0" xfId="61" applyNumberFormat="1" applyFont="1" applyFill="1" applyBorder="1" applyAlignment="1">
      <alignment horizontal="right" vertical="center"/>
    </xf>
    <xf numFmtId="4" fontId="31" fillId="38" borderId="29" xfId="73" applyNumberFormat="1" applyFont="1" applyFill="1" applyBorder="1" applyAlignment="1">
      <alignment horizontal="center" vertical="center"/>
      <protection/>
    </xf>
    <xf numFmtId="4" fontId="31" fillId="38" borderId="11" xfId="73" applyNumberFormat="1" applyFont="1" applyFill="1" applyBorder="1" applyAlignment="1">
      <alignment horizontal="center" vertical="center"/>
      <protection/>
    </xf>
    <xf numFmtId="4" fontId="31" fillId="38" borderId="12" xfId="73" applyNumberFormat="1" applyFont="1" applyFill="1" applyBorder="1" applyAlignment="1">
      <alignment horizontal="center" vertical="center"/>
      <protection/>
    </xf>
    <xf numFmtId="4" fontId="31" fillId="38" borderId="13" xfId="73" applyNumberFormat="1" applyFont="1" applyFill="1" applyBorder="1" applyAlignment="1">
      <alignment horizontal="center" vertical="center"/>
      <protection/>
    </xf>
    <xf numFmtId="4" fontId="31" fillId="38" borderId="0" xfId="73" applyNumberFormat="1" applyFont="1" applyFill="1" applyBorder="1" applyAlignment="1">
      <alignment horizontal="center" vertical="center"/>
      <protection/>
    </xf>
    <xf numFmtId="4" fontId="31" fillId="38" borderId="14" xfId="73" applyNumberFormat="1" applyFont="1" applyFill="1" applyBorder="1" applyAlignment="1">
      <alignment horizontal="center" vertical="center"/>
      <protection/>
    </xf>
    <xf numFmtId="4" fontId="31" fillId="38" borderId="30" xfId="73" applyNumberFormat="1" applyFont="1" applyFill="1" applyBorder="1" applyAlignment="1">
      <alignment horizontal="center" vertical="center"/>
      <protection/>
    </xf>
    <xf numFmtId="4" fontId="31" fillId="38" borderId="31" xfId="73" applyNumberFormat="1" applyFont="1" applyFill="1" applyBorder="1" applyAlignment="1">
      <alignment horizontal="center" vertical="center"/>
      <protection/>
    </xf>
    <xf numFmtId="4" fontId="31" fillId="38" borderId="32" xfId="73" applyNumberFormat="1" applyFont="1" applyFill="1" applyBorder="1" applyAlignment="1">
      <alignment horizontal="center" vertical="center"/>
      <protection/>
    </xf>
    <xf numFmtId="4" fontId="27" fillId="12" borderId="33" xfId="73" applyNumberFormat="1" applyFont="1" applyFill="1" applyBorder="1" applyAlignment="1">
      <alignment horizontal="center" vertical="center" wrapText="1"/>
      <protection/>
    </xf>
    <xf numFmtId="4" fontId="30" fillId="12" borderId="34" xfId="72" applyNumberFormat="1" applyFont="1" applyFill="1" applyBorder="1" applyAlignment="1">
      <alignment horizontal="center" vertical="center" wrapText="1"/>
      <protection/>
    </xf>
    <xf numFmtId="4" fontId="30" fillId="12" borderId="35" xfId="72" applyNumberFormat="1" applyFont="1" applyFill="1" applyBorder="1" applyAlignment="1">
      <alignment horizontal="center" vertical="center" wrapText="1"/>
      <protection/>
    </xf>
    <xf numFmtId="4" fontId="30" fillId="12" borderId="36" xfId="72" applyNumberFormat="1" applyFont="1" applyFill="1" applyBorder="1" applyAlignment="1">
      <alignment horizontal="center" vertical="center" wrapText="1"/>
      <protection/>
    </xf>
    <xf numFmtId="4" fontId="30" fillId="12" borderId="37" xfId="72" applyNumberFormat="1" applyFont="1" applyFill="1" applyBorder="1" applyAlignment="1">
      <alignment horizontal="center" vertical="center" wrapText="1"/>
      <protection/>
    </xf>
    <xf numFmtId="4" fontId="30" fillId="12" borderId="38" xfId="72" applyNumberFormat="1" applyFont="1" applyFill="1" applyBorder="1" applyAlignment="1">
      <alignment horizontal="center" vertical="center" wrapText="1"/>
      <protection/>
    </xf>
    <xf numFmtId="4" fontId="29" fillId="12" borderId="39" xfId="72" applyNumberFormat="1" applyFont="1" applyFill="1" applyBorder="1" applyAlignment="1">
      <alignment horizontal="center" vertical="center" wrapText="1"/>
      <protection/>
    </xf>
    <xf numFmtId="4" fontId="30" fillId="12" borderId="40" xfId="72" applyNumberFormat="1" applyFont="1" applyFill="1" applyBorder="1" applyAlignment="1">
      <alignment horizontal="center" vertical="center" wrapText="1"/>
      <protection/>
    </xf>
    <xf numFmtId="4" fontId="30" fillId="12" borderId="41" xfId="72" applyNumberFormat="1" applyFont="1" applyFill="1" applyBorder="1" applyAlignment="1">
      <alignment horizontal="center" vertical="center" wrapText="1"/>
      <protection/>
    </xf>
    <xf numFmtId="4" fontId="28" fillId="51" borderId="0" xfId="0" applyNumberFormat="1" applyFont="1" applyFill="1" applyAlignment="1">
      <alignment/>
    </xf>
    <xf numFmtId="3" fontId="27" fillId="46" borderId="11" xfId="7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Alignment="1">
      <alignment horizontal="left" vertic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4"/>
  <sheetViews>
    <sheetView tabSelected="1" view="pageBreakPreview" zoomScale="80" zoomScaleNormal="80" zoomScaleSheetLayoutView="80" workbookViewId="0" topLeftCell="A1">
      <selection activeCell="A1" sqref="A1"/>
    </sheetView>
  </sheetViews>
  <sheetFormatPr defaultColWidth="9.140625" defaultRowHeight="12.75"/>
  <cols>
    <col min="1" max="1" width="9.140625" style="54" customWidth="1"/>
    <col min="2" max="2" width="6.7109375" style="17" customWidth="1"/>
    <col min="3" max="3" width="18.421875" style="15" customWidth="1"/>
    <col min="4" max="4" width="15.421875" style="15" customWidth="1"/>
    <col min="5" max="5" width="19.7109375" style="15" customWidth="1"/>
    <col min="6" max="6" width="11.140625" style="21" customWidth="1"/>
    <col min="7" max="7" width="9.140625" style="3" customWidth="1"/>
    <col min="8" max="8" width="12.57421875" style="15" customWidth="1"/>
    <col min="9" max="9" width="27.8515625" style="2" customWidth="1"/>
    <col min="10" max="10" width="11.421875" style="48" customWidth="1"/>
    <col min="11" max="11" width="9.140625" style="3" customWidth="1"/>
    <col min="12" max="12" width="9.57421875" style="53" customWidth="1"/>
    <col min="13" max="13" width="13.7109375" style="3" customWidth="1"/>
    <col min="14" max="14" width="17.140625" style="26" customWidth="1"/>
    <col min="15" max="15" width="19.8515625" style="26" customWidth="1"/>
    <col min="16" max="16" width="20.7109375" style="3" customWidth="1"/>
    <col min="17" max="17" width="20.28125" style="3" customWidth="1"/>
    <col min="18" max="18" width="15.28125" style="3" customWidth="1"/>
    <col min="19" max="19" width="7.7109375" style="3" customWidth="1"/>
    <col min="20" max="20" width="13.57421875" style="3" customWidth="1"/>
    <col min="21" max="21" width="9.140625" style="3" customWidth="1"/>
    <col min="22" max="22" width="12.421875" style="3" bestFit="1" customWidth="1"/>
    <col min="23" max="16384" width="9.140625" style="3" customWidth="1"/>
  </cols>
  <sheetData>
    <row r="1" spans="1:21" s="27" customFormat="1" ht="33.75" customHeight="1" thickBot="1">
      <c r="A1" s="56"/>
      <c r="B1" s="43" t="s">
        <v>275</v>
      </c>
      <c r="C1" s="205"/>
      <c r="D1" s="28"/>
      <c r="E1" s="28"/>
      <c r="F1" s="29"/>
      <c r="G1" s="206">
        <f>A279</f>
        <v>118</v>
      </c>
      <c r="H1" s="43" t="s">
        <v>453</v>
      </c>
      <c r="I1" s="205"/>
      <c r="J1" s="29"/>
      <c r="K1" s="28"/>
      <c r="L1" s="49"/>
      <c r="M1" s="28"/>
      <c r="N1" s="30" t="s">
        <v>447</v>
      </c>
      <c r="O1" s="30">
        <f>O279</f>
        <v>8106200</v>
      </c>
      <c r="P1" s="31" t="s">
        <v>180</v>
      </c>
      <c r="Q1" s="207">
        <v>2</v>
      </c>
      <c r="S1" s="154"/>
      <c r="T1" s="154"/>
      <c r="U1" s="154"/>
    </row>
    <row r="2" spans="2:21" ht="12.75" customHeight="1">
      <c r="B2" s="196" t="s">
        <v>303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  <c r="Q2" s="155"/>
      <c r="R2" s="155"/>
      <c r="S2" s="155"/>
      <c r="T2" s="155"/>
      <c r="U2" s="155"/>
    </row>
    <row r="3" spans="2:21" ht="22.5" customHeight="1" thickBot="1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155"/>
      <c r="R3" s="178"/>
      <c r="S3" s="155"/>
      <c r="T3" s="155"/>
      <c r="U3" s="155"/>
    </row>
    <row r="4" spans="2:21" ht="23.25" customHeight="1">
      <c r="B4" s="202" t="s">
        <v>450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155"/>
      <c r="R4" s="155"/>
      <c r="S4" s="155"/>
      <c r="T4" s="155"/>
      <c r="U4" s="155"/>
    </row>
    <row r="5" spans="2:21" ht="3" customHeight="1">
      <c r="B5" s="32"/>
      <c r="C5" s="4"/>
      <c r="D5" s="4"/>
      <c r="E5" s="4"/>
      <c r="F5" s="18"/>
      <c r="G5" s="5"/>
      <c r="H5" s="4"/>
      <c r="I5" s="6"/>
      <c r="J5" s="45"/>
      <c r="K5" s="5"/>
      <c r="L5" s="18"/>
      <c r="M5" s="7"/>
      <c r="N5" s="55"/>
      <c r="O5" s="23"/>
      <c r="P5" s="33"/>
      <c r="Q5" s="155"/>
      <c r="R5" s="155"/>
      <c r="S5" s="155"/>
      <c r="T5" s="155"/>
      <c r="U5" s="155"/>
    </row>
    <row r="6" spans="2:21" ht="15.75">
      <c r="B6" s="190" t="s">
        <v>316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155"/>
      <c r="R6" s="155"/>
      <c r="S6" s="155"/>
      <c r="T6" s="155"/>
      <c r="U6" s="155"/>
    </row>
    <row r="7" spans="2:21" ht="15.75">
      <c r="B7" s="190" t="s">
        <v>306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  <c r="Q7" s="155"/>
      <c r="R7" s="155"/>
      <c r="S7" s="155"/>
      <c r="T7" s="155"/>
      <c r="U7" s="155"/>
    </row>
    <row r="8" spans="2:21" ht="15.75">
      <c r="B8" s="190" t="s">
        <v>313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2"/>
      <c r="Q8" s="155"/>
      <c r="R8" s="155"/>
      <c r="S8" s="155"/>
      <c r="T8" s="155"/>
      <c r="U8" s="155"/>
    </row>
    <row r="9" spans="2:22" ht="76.5" customHeight="1">
      <c r="B9" s="34" t="s">
        <v>1</v>
      </c>
      <c r="C9" s="9" t="s">
        <v>2</v>
      </c>
      <c r="D9" s="9" t="s">
        <v>3</v>
      </c>
      <c r="E9" s="10" t="s">
        <v>4</v>
      </c>
      <c r="F9" s="19" t="s">
        <v>5</v>
      </c>
      <c r="G9" s="8" t="s">
        <v>6</v>
      </c>
      <c r="H9" s="10" t="s">
        <v>7</v>
      </c>
      <c r="I9" s="11" t="s">
        <v>8</v>
      </c>
      <c r="J9" s="46" t="s">
        <v>9</v>
      </c>
      <c r="K9" s="8" t="s">
        <v>10</v>
      </c>
      <c r="L9" s="19" t="s">
        <v>11</v>
      </c>
      <c r="M9" s="12" t="s">
        <v>12</v>
      </c>
      <c r="N9" s="180" t="s">
        <v>441</v>
      </c>
      <c r="O9" s="180" t="s">
        <v>445</v>
      </c>
      <c r="P9" s="166" t="s">
        <v>13</v>
      </c>
      <c r="Q9" s="134"/>
      <c r="R9" s="134"/>
      <c r="S9" s="134"/>
      <c r="T9" s="156"/>
      <c r="U9" s="156"/>
      <c r="V9" s="135"/>
    </row>
    <row r="10" spans="1:22" s="73" customFormat="1" ht="15.75" customHeight="1">
      <c r="A10" s="70">
        <v>1</v>
      </c>
      <c r="B10" s="61">
        <v>1</v>
      </c>
      <c r="C10" s="86" t="s">
        <v>439</v>
      </c>
      <c r="D10" s="86" t="s">
        <v>173</v>
      </c>
      <c r="E10" s="86" t="s">
        <v>174</v>
      </c>
      <c r="F10" s="87">
        <v>49</v>
      </c>
      <c r="G10" s="88" t="s">
        <v>16</v>
      </c>
      <c r="H10" s="86" t="s">
        <v>17</v>
      </c>
      <c r="I10" s="89" t="s">
        <v>22</v>
      </c>
      <c r="J10" s="94" t="s">
        <v>215</v>
      </c>
      <c r="K10" s="88" t="s">
        <v>19</v>
      </c>
      <c r="L10" s="87">
        <v>16</v>
      </c>
      <c r="M10" s="91" t="s">
        <v>23</v>
      </c>
      <c r="N10" s="96">
        <f>1*29000</f>
        <v>29000</v>
      </c>
      <c r="O10" s="96">
        <f>$Q$1*N10</f>
        <v>58000</v>
      </c>
      <c r="P10" s="167" t="s">
        <v>20</v>
      </c>
      <c r="Q10" s="157"/>
      <c r="R10" s="136"/>
      <c r="S10" s="137"/>
      <c r="T10" s="142"/>
      <c r="U10" s="142"/>
      <c r="V10" s="138"/>
    </row>
    <row r="11" spans="1:22" s="73" customFormat="1" ht="15.75" customHeight="1">
      <c r="A11" s="70">
        <v>1</v>
      </c>
      <c r="B11" s="61">
        <v>2</v>
      </c>
      <c r="C11" s="86" t="s">
        <v>439</v>
      </c>
      <c r="D11" s="86" t="s">
        <v>24</v>
      </c>
      <c r="E11" s="86" t="s">
        <v>25</v>
      </c>
      <c r="F11" s="87">
        <v>6</v>
      </c>
      <c r="G11" s="88" t="s">
        <v>16</v>
      </c>
      <c r="H11" s="86" t="s">
        <v>17</v>
      </c>
      <c r="I11" s="89" t="s">
        <v>26</v>
      </c>
      <c r="J11" s="94" t="s">
        <v>216</v>
      </c>
      <c r="K11" s="88" t="s">
        <v>19</v>
      </c>
      <c r="L11" s="87">
        <v>16</v>
      </c>
      <c r="M11" s="91" t="s">
        <v>23</v>
      </c>
      <c r="N11" s="96">
        <f>1*2100</f>
        <v>2100</v>
      </c>
      <c r="O11" s="96">
        <f>$Q$1*N11</f>
        <v>4200</v>
      </c>
      <c r="P11" s="167" t="s">
        <v>20</v>
      </c>
      <c r="Q11" s="157"/>
      <c r="R11" s="136"/>
      <c r="S11" s="137"/>
      <c r="T11" s="142"/>
      <c r="U11" s="142"/>
      <c r="V11" s="138"/>
    </row>
    <row r="12" spans="1:22" s="73" customFormat="1" ht="15.75" customHeight="1">
      <c r="A12" s="70">
        <v>1</v>
      </c>
      <c r="B12" s="61">
        <v>3</v>
      </c>
      <c r="C12" s="86" t="s">
        <v>439</v>
      </c>
      <c r="D12" s="86" t="s">
        <v>31</v>
      </c>
      <c r="E12" s="86" t="s">
        <v>48</v>
      </c>
      <c r="F12" s="87">
        <v>9</v>
      </c>
      <c r="G12" s="88" t="s">
        <v>16</v>
      </c>
      <c r="H12" s="86" t="s">
        <v>17</v>
      </c>
      <c r="I12" s="89" t="s">
        <v>32</v>
      </c>
      <c r="J12" s="94" t="s">
        <v>33</v>
      </c>
      <c r="K12" s="88" t="s">
        <v>34</v>
      </c>
      <c r="L12" s="87">
        <v>63</v>
      </c>
      <c r="M12" s="91" t="s">
        <v>23</v>
      </c>
      <c r="N12" s="96">
        <f>1*81000</f>
        <v>81000</v>
      </c>
      <c r="O12" s="96">
        <f>$Q$1*N12</f>
        <v>162000</v>
      </c>
      <c r="P12" s="167" t="s">
        <v>20</v>
      </c>
      <c r="Q12" s="157"/>
      <c r="R12" s="136"/>
      <c r="S12" s="137"/>
      <c r="T12" s="142"/>
      <c r="U12" s="142"/>
      <c r="V12" s="138"/>
    </row>
    <row r="13" spans="1:22" s="73" customFormat="1" ht="15" customHeight="1">
      <c r="A13" s="70">
        <v>1</v>
      </c>
      <c r="B13" s="61">
        <v>4</v>
      </c>
      <c r="C13" s="86" t="s">
        <v>439</v>
      </c>
      <c r="D13" s="86" t="s">
        <v>349</v>
      </c>
      <c r="E13" s="86" t="s">
        <v>120</v>
      </c>
      <c r="F13" s="87">
        <v>3</v>
      </c>
      <c r="G13" s="88" t="s">
        <v>39</v>
      </c>
      <c r="H13" s="86" t="s">
        <v>40</v>
      </c>
      <c r="I13" s="89" t="s">
        <v>44</v>
      </c>
      <c r="J13" s="90" t="s">
        <v>380</v>
      </c>
      <c r="K13" s="88" t="s">
        <v>19</v>
      </c>
      <c r="L13" s="87">
        <v>35</v>
      </c>
      <c r="M13" s="91" t="s">
        <v>23</v>
      </c>
      <c r="N13" s="96">
        <f>1*12000</f>
        <v>12000</v>
      </c>
      <c r="O13" s="96">
        <f>$Q$1*N13</f>
        <v>24000</v>
      </c>
      <c r="P13" s="167" t="s">
        <v>20</v>
      </c>
      <c r="Q13" s="157"/>
      <c r="R13" s="136"/>
      <c r="S13" s="139"/>
      <c r="T13" s="142"/>
      <c r="U13" s="142"/>
      <c r="V13" s="138"/>
    </row>
    <row r="14" spans="2:22" ht="15.75" customHeight="1">
      <c r="B14" s="35"/>
      <c r="C14" s="4"/>
      <c r="D14" s="4"/>
      <c r="E14" s="4"/>
      <c r="F14" s="18"/>
      <c r="G14" s="5"/>
      <c r="H14" s="4"/>
      <c r="I14" s="6"/>
      <c r="J14" s="45"/>
      <c r="K14" s="5"/>
      <c r="L14" s="50">
        <f>L10+L11+L12+L13</f>
        <v>130</v>
      </c>
      <c r="M14" s="22" t="s">
        <v>14</v>
      </c>
      <c r="N14" s="60">
        <f>SUM(N10:N13)</f>
        <v>124100</v>
      </c>
      <c r="O14" s="24">
        <f>O10+O11+O12+O13</f>
        <v>248200</v>
      </c>
      <c r="P14" s="33"/>
      <c r="Q14" s="156"/>
      <c r="R14" s="156"/>
      <c r="S14" s="156"/>
      <c r="T14" s="156"/>
      <c r="U14" s="156"/>
      <c r="V14" s="135"/>
    </row>
    <row r="15" spans="2:22" ht="15.75">
      <c r="B15" s="190" t="s">
        <v>315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/>
      <c r="Q15" s="156"/>
      <c r="R15" s="156"/>
      <c r="S15" s="156"/>
      <c r="T15" s="156"/>
      <c r="U15" s="156"/>
      <c r="V15" s="135"/>
    </row>
    <row r="16" spans="2:22" ht="15.75">
      <c r="B16" s="190" t="s">
        <v>306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2"/>
      <c r="Q16" s="156"/>
      <c r="R16" s="156"/>
      <c r="S16" s="156"/>
      <c r="T16" s="156"/>
      <c r="U16" s="156"/>
      <c r="V16" s="135"/>
    </row>
    <row r="17" spans="2:22" ht="15.75">
      <c r="B17" s="190" t="s">
        <v>314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  <c r="Q17" s="156"/>
      <c r="R17" s="156"/>
      <c r="S17" s="156"/>
      <c r="T17" s="156"/>
      <c r="U17" s="156"/>
      <c r="V17" s="135"/>
    </row>
    <row r="18" spans="2:22" ht="63.75">
      <c r="B18" s="34" t="s">
        <v>1</v>
      </c>
      <c r="C18" s="9" t="s">
        <v>2</v>
      </c>
      <c r="D18" s="9" t="s">
        <v>3</v>
      </c>
      <c r="E18" s="10" t="s">
        <v>4</v>
      </c>
      <c r="F18" s="19" t="s">
        <v>5</v>
      </c>
      <c r="G18" s="8" t="s">
        <v>6</v>
      </c>
      <c r="H18" s="10" t="s">
        <v>7</v>
      </c>
      <c r="I18" s="11" t="s">
        <v>8</v>
      </c>
      <c r="J18" s="46" t="s">
        <v>9</v>
      </c>
      <c r="K18" s="8" t="s">
        <v>10</v>
      </c>
      <c r="L18" s="19" t="s">
        <v>11</v>
      </c>
      <c r="M18" s="12" t="s">
        <v>12</v>
      </c>
      <c r="N18" s="180" t="s">
        <v>441</v>
      </c>
      <c r="O18" s="180" t="s">
        <v>445</v>
      </c>
      <c r="P18" s="166" t="s">
        <v>13</v>
      </c>
      <c r="Q18" s="156"/>
      <c r="R18" s="156"/>
      <c r="S18" s="156"/>
      <c r="T18" s="156"/>
      <c r="U18" s="156"/>
      <c r="V18" s="135"/>
    </row>
    <row r="19" spans="1:22" s="73" customFormat="1" ht="15.75" customHeight="1">
      <c r="A19" s="70">
        <v>1</v>
      </c>
      <c r="B19" s="61">
        <v>1</v>
      </c>
      <c r="C19" s="86" t="s">
        <v>164</v>
      </c>
      <c r="D19" s="86" t="s">
        <v>35</v>
      </c>
      <c r="E19" s="86" t="s">
        <v>25</v>
      </c>
      <c r="F19" s="87">
        <v>9</v>
      </c>
      <c r="G19" s="88" t="s">
        <v>16</v>
      </c>
      <c r="H19" s="86" t="s">
        <v>17</v>
      </c>
      <c r="I19" s="89" t="s">
        <v>169</v>
      </c>
      <c r="J19" s="94">
        <v>90642191</v>
      </c>
      <c r="K19" s="88" t="s">
        <v>18</v>
      </c>
      <c r="L19" s="87">
        <v>6</v>
      </c>
      <c r="M19" s="91" t="s">
        <v>23</v>
      </c>
      <c r="N19" s="93">
        <f>1*3500</f>
        <v>3500</v>
      </c>
      <c r="O19" s="93">
        <f>$Q$1*N19</f>
        <v>7000</v>
      </c>
      <c r="P19" s="167" t="s">
        <v>20</v>
      </c>
      <c r="Q19" s="158"/>
      <c r="R19" s="140"/>
      <c r="S19" s="139"/>
      <c r="T19" s="142"/>
      <c r="U19" s="142"/>
      <c r="V19" s="138"/>
    </row>
    <row r="20" spans="1:22" s="73" customFormat="1" ht="15.75" customHeight="1">
      <c r="A20" s="70">
        <v>1</v>
      </c>
      <c r="B20" s="95">
        <v>2</v>
      </c>
      <c r="C20" s="86" t="s">
        <v>162</v>
      </c>
      <c r="D20" s="86" t="s">
        <v>35</v>
      </c>
      <c r="E20" s="86" t="s">
        <v>163</v>
      </c>
      <c r="F20" s="87">
        <v>16</v>
      </c>
      <c r="G20" s="88" t="s">
        <v>36</v>
      </c>
      <c r="H20" s="86" t="s">
        <v>161</v>
      </c>
      <c r="I20" s="89" t="s">
        <v>168</v>
      </c>
      <c r="J20" s="94" t="s">
        <v>201</v>
      </c>
      <c r="K20" s="88" t="s">
        <v>18</v>
      </c>
      <c r="L20" s="87">
        <v>6</v>
      </c>
      <c r="M20" s="91" t="s">
        <v>23</v>
      </c>
      <c r="N20" s="93">
        <f>1*500</f>
        <v>500</v>
      </c>
      <c r="O20" s="93">
        <f>$Q$1*N20</f>
        <v>1000</v>
      </c>
      <c r="P20" s="167" t="s">
        <v>20</v>
      </c>
      <c r="Q20" s="158"/>
      <c r="R20" s="140"/>
      <c r="S20" s="139"/>
      <c r="T20" s="142"/>
      <c r="U20" s="142"/>
      <c r="V20" s="138"/>
    </row>
    <row r="21" spans="1:22" s="73" customFormat="1" ht="15.75" customHeight="1">
      <c r="A21" s="70">
        <v>1</v>
      </c>
      <c r="B21" s="61">
        <v>3</v>
      </c>
      <c r="C21" s="86" t="s">
        <v>165</v>
      </c>
      <c r="D21" s="86" t="s">
        <v>35</v>
      </c>
      <c r="E21" s="86" t="s">
        <v>166</v>
      </c>
      <c r="F21" s="87">
        <v>91</v>
      </c>
      <c r="G21" s="88" t="s">
        <v>28</v>
      </c>
      <c r="H21" s="86" t="s">
        <v>17</v>
      </c>
      <c r="I21" s="89" t="s">
        <v>172</v>
      </c>
      <c r="J21" s="94">
        <v>70810971</v>
      </c>
      <c r="K21" s="88" t="s">
        <v>18</v>
      </c>
      <c r="L21" s="87">
        <v>6</v>
      </c>
      <c r="M21" s="91" t="s">
        <v>23</v>
      </c>
      <c r="N21" s="93">
        <f>1*1200</f>
        <v>1200</v>
      </c>
      <c r="O21" s="93">
        <f>$Q$1*N21</f>
        <v>2400</v>
      </c>
      <c r="P21" s="167" t="s">
        <v>20</v>
      </c>
      <c r="Q21" s="158"/>
      <c r="R21" s="140"/>
      <c r="S21" s="139"/>
      <c r="T21" s="142"/>
      <c r="U21" s="142"/>
      <c r="V21" s="138"/>
    </row>
    <row r="22" spans="1:22" s="73" customFormat="1" ht="15.75" customHeight="1">
      <c r="A22" s="70">
        <v>1</v>
      </c>
      <c r="B22" s="61">
        <v>4</v>
      </c>
      <c r="C22" s="86" t="s">
        <v>167</v>
      </c>
      <c r="D22" s="86" t="s">
        <v>35</v>
      </c>
      <c r="E22" s="86" t="s">
        <v>159</v>
      </c>
      <c r="F22" s="87">
        <v>31</v>
      </c>
      <c r="G22" s="88" t="s">
        <v>47</v>
      </c>
      <c r="H22" s="86" t="s">
        <v>17</v>
      </c>
      <c r="I22" s="89" t="s">
        <v>170</v>
      </c>
      <c r="J22" s="94">
        <v>71019079</v>
      </c>
      <c r="K22" s="88" t="s">
        <v>18</v>
      </c>
      <c r="L22" s="87">
        <v>6</v>
      </c>
      <c r="M22" s="91" t="s">
        <v>23</v>
      </c>
      <c r="N22" s="93">
        <f>1*1100</f>
        <v>1100</v>
      </c>
      <c r="O22" s="93">
        <f>$Q$1*N22</f>
        <v>2200</v>
      </c>
      <c r="P22" s="167" t="s">
        <v>20</v>
      </c>
      <c r="Q22" s="158"/>
      <c r="R22" s="140"/>
      <c r="S22" s="139"/>
      <c r="T22" s="142"/>
      <c r="U22" s="142"/>
      <c r="V22" s="138"/>
    </row>
    <row r="23" spans="2:22" ht="12.75">
      <c r="B23" s="35"/>
      <c r="C23" s="4"/>
      <c r="D23" s="4"/>
      <c r="E23" s="4"/>
      <c r="F23" s="18"/>
      <c r="G23" s="5"/>
      <c r="H23" s="4"/>
      <c r="I23" s="6"/>
      <c r="J23" s="45"/>
      <c r="K23" s="5"/>
      <c r="L23" s="50">
        <f>SUM(L19:L22)</f>
        <v>24</v>
      </c>
      <c r="M23" s="22" t="s">
        <v>14</v>
      </c>
      <c r="N23" s="60">
        <f>SUM(N19:N22)</f>
        <v>6300</v>
      </c>
      <c r="O23" s="24">
        <f>SUM(O19:O22)</f>
        <v>12600</v>
      </c>
      <c r="P23" s="33"/>
      <c r="Q23" s="156"/>
      <c r="R23" s="156"/>
      <c r="S23" s="156"/>
      <c r="T23" s="156"/>
      <c r="U23" s="156"/>
      <c r="V23" s="135"/>
    </row>
    <row r="24" spans="2:22" ht="15.75">
      <c r="B24" s="190" t="s">
        <v>317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2"/>
      <c r="Q24" s="156"/>
      <c r="R24" s="156"/>
      <c r="S24" s="156"/>
      <c r="T24" s="156"/>
      <c r="U24" s="156"/>
      <c r="V24" s="135"/>
    </row>
    <row r="25" spans="2:22" ht="15.75">
      <c r="B25" s="190" t="s">
        <v>307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  <c r="Q25" s="156"/>
      <c r="R25" s="156"/>
      <c r="S25" s="156"/>
      <c r="T25" s="156"/>
      <c r="U25" s="156"/>
      <c r="V25" s="135"/>
    </row>
    <row r="26" spans="2:22" ht="15.75">
      <c r="B26" s="190" t="s">
        <v>308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  <c r="Q26" s="156"/>
      <c r="R26" s="156"/>
      <c r="S26" s="156"/>
      <c r="T26" s="156"/>
      <c r="U26" s="156"/>
      <c r="V26" s="135"/>
    </row>
    <row r="27" spans="2:22" ht="63.75">
      <c r="B27" s="34" t="s">
        <v>1</v>
      </c>
      <c r="C27" s="9" t="s">
        <v>2</v>
      </c>
      <c r="D27" s="9" t="s">
        <v>3</v>
      </c>
      <c r="E27" s="10" t="s">
        <v>4</v>
      </c>
      <c r="F27" s="19" t="s">
        <v>5</v>
      </c>
      <c r="G27" s="8" t="s">
        <v>6</v>
      </c>
      <c r="H27" s="10" t="s">
        <v>7</v>
      </c>
      <c r="I27" s="11" t="s">
        <v>8</v>
      </c>
      <c r="J27" s="46" t="s">
        <v>9</v>
      </c>
      <c r="K27" s="8" t="s">
        <v>10</v>
      </c>
      <c r="L27" s="19" t="s">
        <v>11</v>
      </c>
      <c r="M27" s="12" t="s">
        <v>12</v>
      </c>
      <c r="N27" s="180" t="s">
        <v>441</v>
      </c>
      <c r="O27" s="180" t="s">
        <v>445</v>
      </c>
      <c r="P27" s="166" t="s">
        <v>13</v>
      </c>
      <c r="Q27" s="156"/>
      <c r="R27" s="156"/>
      <c r="S27" s="156"/>
      <c r="T27" s="156"/>
      <c r="U27" s="156"/>
      <c r="V27" s="135"/>
    </row>
    <row r="28" spans="1:22" s="73" customFormat="1" ht="15.75" customHeight="1">
      <c r="A28" s="70">
        <v>1</v>
      </c>
      <c r="B28" s="61">
        <v>1</v>
      </c>
      <c r="C28" s="62" t="s">
        <v>45</v>
      </c>
      <c r="D28" s="62" t="s">
        <v>440</v>
      </c>
      <c r="E28" s="62" t="s">
        <v>48</v>
      </c>
      <c r="F28" s="63">
        <v>17</v>
      </c>
      <c r="G28" s="64" t="s">
        <v>16</v>
      </c>
      <c r="H28" s="62" t="s">
        <v>17</v>
      </c>
      <c r="I28" s="65" t="s">
        <v>227</v>
      </c>
      <c r="J28" s="71" t="s">
        <v>228</v>
      </c>
      <c r="K28" s="64" t="s">
        <v>19</v>
      </c>
      <c r="L28" s="63">
        <v>6</v>
      </c>
      <c r="M28" s="67" t="s">
        <v>23</v>
      </c>
      <c r="N28" s="69">
        <f>1*5600</f>
        <v>5600</v>
      </c>
      <c r="O28" s="69">
        <f aca="true" t="shared" si="0" ref="O28:O37">$Q$1*N28</f>
        <v>11200</v>
      </c>
      <c r="P28" s="168" t="s">
        <v>20</v>
      </c>
      <c r="Q28" s="158"/>
      <c r="R28" s="156"/>
      <c r="S28" s="139"/>
      <c r="T28" s="159"/>
      <c r="U28" s="160"/>
      <c r="V28" s="138"/>
    </row>
    <row r="29" spans="1:22" s="73" customFormat="1" ht="15.75" customHeight="1">
      <c r="A29" s="70">
        <v>1</v>
      </c>
      <c r="B29" s="61">
        <v>2</v>
      </c>
      <c r="C29" s="62" t="s">
        <v>45</v>
      </c>
      <c r="D29" s="62" t="s">
        <v>440</v>
      </c>
      <c r="E29" s="62" t="s">
        <v>132</v>
      </c>
      <c r="F29" s="63">
        <v>5</v>
      </c>
      <c r="G29" s="64" t="s">
        <v>16</v>
      </c>
      <c r="H29" s="62" t="s">
        <v>17</v>
      </c>
      <c r="I29" s="65" t="s">
        <v>229</v>
      </c>
      <c r="J29" s="66" t="s">
        <v>373</v>
      </c>
      <c r="K29" s="64" t="s">
        <v>34</v>
      </c>
      <c r="L29" s="63">
        <v>65</v>
      </c>
      <c r="M29" s="67" t="s">
        <v>23</v>
      </c>
      <c r="N29" s="69">
        <f>1*175000</f>
        <v>175000</v>
      </c>
      <c r="O29" s="69">
        <f t="shared" si="0"/>
        <v>350000</v>
      </c>
      <c r="P29" s="168" t="s">
        <v>20</v>
      </c>
      <c r="Q29" s="158"/>
      <c r="R29" s="156"/>
      <c r="S29" s="139"/>
      <c r="T29" s="159"/>
      <c r="U29" s="160"/>
      <c r="V29" s="138"/>
    </row>
    <row r="30" spans="1:22" s="73" customFormat="1" ht="15.75" customHeight="1">
      <c r="A30" s="70">
        <v>1</v>
      </c>
      <c r="B30" s="61">
        <v>3</v>
      </c>
      <c r="C30" s="62" t="s">
        <v>45</v>
      </c>
      <c r="D30" s="62" t="s">
        <v>440</v>
      </c>
      <c r="E30" s="62" t="s">
        <v>85</v>
      </c>
      <c r="F30" s="63">
        <v>2</v>
      </c>
      <c r="G30" s="64" t="s">
        <v>16</v>
      </c>
      <c r="H30" s="62" t="s">
        <v>17</v>
      </c>
      <c r="I30" s="65" t="s">
        <v>343</v>
      </c>
      <c r="J30" s="71">
        <v>93236381</v>
      </c>
      <c r="K30" s="64" t="s">
        <v>18</v>
      </c>
      <c r="L30" s="63">
        <v>16</v>
      </c>
      <c r="M30" s="67" t="s">
        <v>23</v>
      </c>
      <c r="N30" s="69">
        <f>1*5500</f>
        <v>5500</v>
      </c>
      <c r="O30" s="69">
        <f t="shared" si="0"/>
        <v>11000</v>
      </c>
      <c r="P30" s="168" t="s">
        <v>20</v>
      </c>
      <c r="Q30" s="158"/>
      <c r="R30" s="156"/>
      <c r="S30" s="139"/>
      <c r="T30" s="159"/>
      <c r="U30" s="160"/>
      <c r="V30" s="138"/>
    </row>
    <row r="31" spans="1:22" s="73" customFormat="1" ht="15.75" customHeight="1">
      <c r="A31" s="70">
        <v>1</v>
      </c>
      <c r="B31" s="61">
        <v>4</v>
      </c>
      <c r="C31" s="62" t="s">
        <v>45</v>
      </c>
      <c r="D31" s="62" t="s">
        <v>440</v>
      </c>
      <c r="E31" s="62" t="s">
        <v>25</v>
      </c>
      <c r="F31" s="63">
        <v>1</v>
      </c>
      <c r="G31" s="64" t="s">
        <v>16</v>
      </c>
      <c r="H31" s="62" t="s">
        <v>17</v>
      </c>
      <c r="I31" s="65" t="s">
        <v>344</v>
      </c>
      <c r="J31" s="71">
        <v>94673282</v>
      </c>
      <c r="K31" s="64" t="s">
        <v>18</v>
      </c>
      <c r="L31" s="63">
        <v>7</v>
      </c>
      <c r="M31" s="67" t="s">
        <v>23</v>
      </c>
      <c r="N31" s="69">
        <f>1*17000</f>
        <v>17000</v>
      </c>
      <c r="O31" s="69">
        <f t="shared" si="0"/>
        <v>34000</v>
      </c>
      <c r="P31" s="168" t="s">
        <v>20</v>
      </c>
      <c r="Q31" s="158"/>
      <c r="R31" s="156"/>
      <c r="S31" s="139"/>
      <c r="T31" s="159"/>
      <c r="U31" s="160"/>
      <c r="V31" s="138"/>
    </row>
    <row r="32" spans="1:22" s="73" customFormat="1" ht="15.75" customHeight="1">
      <c r="A32" s="70">
        <v>1</v>
      </c>
      <c r="B32" s="61">
        <v>5</v>
      </c>
      <c r="C32" s="62" t="s">
        <v>45</v>
      </c>
      <c r="D32" s="62" t="s">
        <v>440</v>
      </c>
      <c r="E32" s="62" t="s">
        <v>25</v>
      </c>
      <c r="F32" s="63">
        <v>1</v>
      </c>
      <c r="G32" s="64" t="s">
        <v>16</v>
      </c>
      <c r="H32" s="62" t="s">
        <v>17</v>
      </c>
      <c r="I32" s="65" t="s">
        <v>346</v>
      </c>
      <c r="J32" s="74">
        <v>83152225</v>
      </c>
      <c r="K32" s="64" t="s">
        <v>18</v>
      </c>
      <c r="L32" s="63">
        <v>12</v>
      </c>
      <c r="M32" s="67" t="s">
        <v>23</v>
      </c>
      <c r="N32" s="75">
        <f>1*2500</f>
        <v>2500</v>
      </c>
      <c r="O32" s="75">
        <f t="shared" si="0"/>
        <v>5000</v>
      </c>
      <c r="P32" s="168" t="s">
        <v>20</v>
      </c>
      <c r="Q32" s="158"/>
      <c r="R32" s="156"/>
      <c r="S32" s="139"/>
      <c r="T32" s="159"/>
      <c r="U32" s="160"/>
      <c r="V32" s="138"/>
    </row>
    <row r="33" spans="1:22" s="73" customFormat="1" ht="15.75" customHeight="1">
      <c r="A33" s="70">
        <v>1</v>
      </c>
      <c r="B33" s="61">
        <v>6</v>
      </c>
      <c r="C33" s="62" t="s">
        <v>45</v>
      </c>
      <c r="D33" s="62" t="s">
        <v>440</v>
      </c>
      <c r="E33" s="62" t="s">
        <v>142</v>
      </c>
      <c r="F33" s="63">
        <v>1</v>
      </c>
      <c r="G33" s="64" t="s">
        <v>16</v>
      </c>
      <c r="H33" s="62" t="s">
        <v>17</v>
      </c>
      <c r="I33" s="65" t="s">
        <v>300</v>
      </c>
      <c r="J33" s="66" t="s">
        <v>374</v>
      </c>
      <c r="K33" s="64" t="s">
        <v>34</v>
      </c>
      <c r="L33" s="63">
        <v>35</v>
      </c>
      <c r="M33" s="67" t="s">
        <v>23</v>
      </c>
      <c r="N33" s="75">
        <f>1*50000</f>
        <v>50000</v>
      </c>
      <c r="O33" s="75">
        <f t="shared" si="0"/>
        <v>100000</v>
      </c>
      <c r="P33" s="168" t="s">
        <v>20</v>
      </c>
      <c r="Q33" s="158"/>
      <c r="R33" s="156"/>
      <c r="S33" s="139"/>
      <c r="T33" s="159"/>
      <c r="U33" s="160"/>
      <c r="V33" s="138"/>
    </row>
    <row r="34" spans="1:22" s="73" customFormat="1" ht="15.75" customHeight="1">
      <c r="A34" s="70">
        <v>1</v>
      </c>
      <c r="B34" s="61">
        <v>7</v>
      </c>
      <c r="C34" s="62" t="s">
        <v>45</v>
      </c>
      <c r="D34" s="62" t="s">
        <v>440</v>
      </c>
      <c r="E34" s="62" t="s">
        <v>142</v>
      </c>
      <c r="F34" s="63">
        <v>1</v>
      </c>
      <c r="G34" s="64" t="s">
        <v>16</v>
      </c>
      <c r="H34" s="62" t="s">
        <v>17</v>
      </c>
      <c r="I34" s="65" t="s">
        <v>301</v>
      </c>
      <c r="J34" s="66" t="s">
        <v>375</v>
      </c>
      <c r="K34" s="64" t="s">
        <v>34</v>
      </c>
      <c r="L34" s="63">
        <v>15</v>
      </c>
      <c r="M34" s="67" t="s">
        <v>23</v>
      </c>
      <c r="N34" s="75">
        <f>1*24000</f>
        <v>24000</v>
      </c>
      <c r="O34" s="75">
        <f t="shared" si="0"/>
        <v>48000</v>
      </c>
      <c r="P34" s="168" t="s">
        <v>20</v>
      </c>
      <c r="Q34" s="158"/>
      <c r="R34" s="156"/>
      <c r="S34" s="139"/>
      <c r="T34" s="159"/>
      <c r="U34" s="160"/>
      <c r="V34" s="138"/>
    </row>
    <row r="35" spans="1:22" s="73" customFormat="1" ht="15.75" customHeight="1">
      <c r="A35" s="70">
        <v>1</v>
      </c>
      <c r="B35" s="61">
        <v>8</v>
      </c>
      <c r="C35" s="62" t="s">
        <v>45</v>
      </c>
      <c r="D35" s="62" t="s">
        <v>440</v>
      </c>
      <c r="E35" s="62" t="s">
        <v>363</v>
      </c>
      <c r="F35" s="63" t="s">
        <v>364</v>
      </c>
      <c r="G35" s="64" t="s">
        <v>16</v>
      </c>
      <c r="H35" s="62" t="s">
        <v>17</v>
      </c>
      <c r="I35" s="65" t="s">
        <v>365</v>
      </c>
      <c r="J35" s="66" t="s">
        <v>371</v>
      </c>
      <c r="K35" s="64" t="s">
        <v>18</v>
      </c>
      <c r="L35" s="63">
        <v>9.5</v>
      </c>
      <c r="M35" s="67" t="s">
        <v>23</v>
      </c>
      <c r="N35" s="75">
        <f>1*45000</f>
        <v>45000</v>
      </c>
      <c r="O35" s="68">
        <f t="shared" si="0"/>
        <v>90000</v>
      </c>
      <c r="P35" s="168" t="s">
        <v>20</v>
      </c>
      <c r="Q35" s="158"/>
      <c r="R35" s="156"/>
      <c r="S35" s="139"/>
      <c r="T35" s="159"/>
      <c r="U35" s="160"/>
      <c r="V35" s="138"/>
    </row>
    <row r="36" spans="1:22" s="73" customFormat="1" ht="15.75" customHeight="1">
      <c r="A36" s="70">
        <v>1</v>
      </c>
      <c r="B36" s="61">
        <v>9</v>
      </c>
      <c r="C36" s="62" t="s">
        <v>45</v>
      </c>
      <c r="D36" s="62" t="s">
        <v>440</v>
      </c>
      <c r="E36" s="62" t="s">
        <v>366</v>
      </c>
      <c r="F36" s="63">
        <v>5</v>
      </c>
      <c r="G36" s="64" t="s">
        <v>16</v>
      </c>
      <c r="H36" s="62" t="s">
        <v>17</v>
      </c>
      <c r="I36" s="65" t="s">
        <v>409</v>
      </c>
      <c r="J36" s="66" t="s">
        <v>372</v>
      </c>
      <c r="K36" s="64" t="s">
        <v>50</v>
      </c>
      <c r="L36" s="63">
        <v>10</v>
      </c>
      <c r="M36" s="67" t="s">
        <v>23</v>
      </c>
      <c r="N36" s="68">
        <f>1*10000</f>
        <v>10000</v>
      </c>
      <c r="O36" s="68">
        <f t="shared" si="0"/>
        <v>20000</v>
      </c>
      <c r="P36" s="168" t="s">
        <v>20</v>
      </c>
      <c r="Q36" s="158"/>
      <c r="R36" s="156"/>
      <c r="S36" s="139"/>
      <c r="T36" s="159"/>
      <c r="U36" s="160"/>
      <c r="V36" s="138"/>
    </row>
    <row r="37" spans="1:22" s="73" customFormat="1" ht="15.75" customHeight="1">
      <c r="A37" s="76">
        <v>1</v>
      </c>
      <c r="B37" s="61">
        <v>10</v>
      </c>
      <c r="C37" s="62" t="s">
        <v>45</v>
      </c>
      <c r="D37" s="62" t="s">
        <v>440</v>
      </c>
      <c r="E37" s="62" t="s">
        <v>139</v>
      </c>
      <c r="F37" s="63">
        <v>11</v>
      </c>
      <c r="G37" s="64" t="s">
        <v>16</v>
      </c>
      <c r="H37" s="62" t="s">
        <v>17</v>
      </c>
      <c r="I37" s="65" t="s">
        <v>77</v>
      </c>
      <c r="J37" s="66">
        <v>71021102</v>
      </c>
      <c r="K37" s="64" t="s">
        <v>19</v>
      </c>
      <c r="L37" s="63">
        <v>15</v>
      </c>
      <c r="M37" s="67" t="s">
        <v>23</v>
      </c>
      <c r="N37" s="68">
        <f>1*10000</f>
        <v>10000</v>
      </c>
      <c r="O37" s="68">
        <f t="shared" si="0"/>
        <v>20000</v>
      </c>
      <c r="P37" s="168" t="s">
        <v>20</v>
      </c>
      <c r="Q37" s="142"/>
      <c r="R37" s="156"/>
      <c r="S37" s="141"/>
      <c r="T37" s="142"/>
      <c r="U37" s="142"/>
      <c r="V37" s="138"/>
    </row>
    <row r="38" spans="2:22" ht="15.75" customHeight="1">
      <c r="B38" s="35"/>
      <c r="C38" s="4"/>
      <c r="D38" s="4"/>
      <c r="E38" s="4"/>
      <c r="F38" s="18"/>
      <c r="G38" s="5"/>
      <c r="H38" s="4"/>
      <c r="I38" s="6"/>
      <c r="J38" s="45"/>
      <c r="K38" s="5"/>
      <c r="L38" s="50">
        <f>SUM(L28:L37)</f>
        <v>190.5</v>
      </c>
      <c r="M38" s="22" t="s">
        <v>14</v>
      </c>
      <c r="N38" s="60">
        <f>SUM(N28:N37)</f>
        <v>344600</v>
      </c>
      <c r="O38" s="36">
        <f>SUM(O28:O37)</f>
        <v>689200</v>
      </c>
      <c r="P38" s="33"/>
      <c r="Q38" s="156"/>
      <c r="R38" s="156"/>
      <c r="S38" s="156"/>
      <c r="T38" s="156"/>
      <c r="U38" s="156"/>
      <c r="V38" s="135"/>
    </row>
    <row r="39" spans="2:22" ht="15.75">
      <c r="B39" s="190" t="s">
        <v>318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56"/>
      <c r="R39" s="156"/>
      <c r="S39" s="156"/>
      <c r="T39" s="156"/>
      <c r="U39" s="156"/>
      <c r="V39" s="135"/>
    </row>
    <row r="40" spans="2:22" ht="15.75">
      <c r="B40" s="190" t="s">
        <v>307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56"/>
      <c r="R40" s="156"/>
      <c r="S40" s="156"/>
      <c r="T40" s="156"/>
      <c r="U40" s="156"/>
      <c r="V40" s="135"/>
    </row>
    <row r="41" spans="2:22" ht="15.75">
      <c r="B41" s="190" t="s">
        <v>308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56"/>
      <c r="R41" s="156"/>
      <c r="S41" s="156"/>
      <c r="T41" s="156"/>
      <c r="U41" s="156"/>
      <c r="V41" s="135"/>
    </row>
    <row r="42" spans="2:22" ht="63.75">
      <c r="B42" s="34" t="s">
        <v>1</v>
      </c>
      <c r="C42" s="9" t="s">
        <v>2</v>
      </c>
      <c r="D42" s="58" t="s">
        <v>3</v>
      </c>
      <c r="E42" s="10" t="s">
        <v>4</v>
      </c>
      <c r="F42" s="59" t="s">
        <v>5</v>
      </c>
      <c r="G42" s="8" t="s">
        <v>6</v>
      </c>
      <c r="H42" s="10" t="s">
        <v>7</v>
      </c>
      <c r="I42" s="11" t="s">
        <v>8</v>
      </c>
      <c r="J42" s="46" t="s">
        <v>9</v>
      </c>
      <c r="K42" s="8" t="s">
        <v>10</v>
      </c>
      <c r="L42" s="19" t="s">
        <v>11</v>
      </c>
      <c r="M42" s="12" t="s">
        <v>12</v>
      </c>
      <c r="N42" s="180" t="s">
        <v>441</v>
      </c>
      <c r="O42" s="180" t="s">
        <v>445</v>
      </c>
      <c r="P42" s="166" t="s">
        <v>13</v>
      </c>
      <c r="Q42" s="156"/>
      <c r="R42" s="156"/>
      <c r="S42" s="156"/>
      <c r="T42" s="156"/>
      <c r="U42" s="156"/>
      <c r="V42" s="135"/>
    </row>
    <row r="43" spans="1:22" s="73" customFormat="1" ht="15.75" customHeight="1">
      <c r="A43" s="70">
        <v>1</v>
      </c>
      <c r="B43" s="112">
        <v>1</v>
      </c>
      <c r="C43" s="113" t="s">
        <v>45</v>
      </c>
      <c r="D43" s="113" t="s">
        <v>186</v>
      </c>
      <c r="E43" s="113" t="s">
        <v>187</v>
      </c>
      <c r="F43" s="114">
        <v>27</v>
      </c>
      <c r="G43" s="115" t="s">
        <v>47</v>
      </c>
      <c r="H43" s="113" t="s">
        <v>17</v>
      </c>
      <c r="I43" s="116" t="s">
        <v>202</v>
      </c>
      <c r="J43" s="117" t="s">
        <v>212</v>
      </c>
      <c r="K43" s="115" t="s">
        <v>19</v>
      </c>
      <c r="L43" s="114">
        <v>13</v>
      </c>
      <c r="M43" s="118" t="s">
        <v>23</v>
      </c>
      <c r="N43" s="119">
        <f>1*15600</f>
        <v>15600</v>
      </c>
      <c r="O43" s="119">
        <f aca="true" t="shared" si="1" ref="O43:O49">$Q$1*N43</f>
        <v>31200</v>
      </c>
      <c r="P43" s="169" t="s">
        <v>20</v>
      </c>
      <c r="Q43" s="158"/>
      <c r="R43" s="156"/>
      <c r="S43" s="141"/>
      <c r="T43" s="158"/>
      <c r="U43" s="142"/>
      <c r="V43" s="138"/>
    </row>
    <row r="44" spans="1:22" s="73" customFormat="1" ht="15.75" customHeight="1">
      <c r="A44" s="70">
        <v>1</v>
      </c>
      <c r="B44" s="61">
        <v>2</v>
      </c>
      <c r="C44" s="106" t="s">
        <v>45</v>
      </c>
      <c r="D44" s="106" t="s">
        <v>192</v>
      </c>
      <c r="E44" s="106" t="s">
        <v>128</v>
      </c>
      <c r="F44" s="107">
        <v>30</v>
      </c>
      <c r="G44" s="108" t="s">
        <v>28</v>
      </c>
      <c r="H44" s="106" t="s">
        <v>29</v>
      </c>
      <c r="I44" s="109" t="s">
        <v>203</v>
      </c>
      <c r="J44" s="110" t="s">
        <v>211</v>
      </c>
      <c r="K44" s="108" t="s">
        <v>19</v>
      </c>
      <c r="L44" s="107">
        <v>15</v>
      </c>
      <c r="M44" s="111" t="s">
        <v>23</v>
      </c>
      <c r="N44" s="104">
        <f>1*18500</f>
        <v>18500</v>
      </c>
      <c r="O44" s="104">
        <f t="shared" si="1"/>
        <v>37000</v>
      </c>
      <c r="P44" s="170" t="s">
        <v>20</v>
      </c>
      <c r="Q44" s="158"/>
      <c r="R44" s="156"/>
      <c r="S44" s="141"/>
      <c r="T44" s="158"/>
      <c r="U44" s="142"/>
      <c r="V44" s="138"/>
    </row>
    <row r="45" spans="1:22" s="73" customFormat="1" ht="15.75" customHeight="1">
      <c r="A45" s="70">
        <v>1</v>
      </c>
      <c r="B45" s="61">
        <v>3</v>
      </c>
      <c r="C45" s="106" t="s">
        <v>45</v>
      </c>
      <c r="D45" s="106" t="s">
        <v>188</v>
      </c>
      <c r="E45" s="106" t="s">
        <v>190</v>
      </c>
      <c r="F45" s="107">
        <v>26</v>
      </c>
      <c r="G45" s="108" t="s">
        <v>47</v>
      </c>
      <c r="H45" s="106" t="s">
        <v>17</v>
      </c>
      <c r="I45" s="101" t="s">
        <v>204</v>
      </c>
      <c r="J45" s="110" t="s">
        <v>210</v>
      </c>
      <c r="K45" s="108" t="s">
        <v>19</v>
      </c>
      <c r="L45" s="107">
        <v>6</v>
      </c>
      <c r="M45" s="111" t="s">
        <v>23</v>
      </c>
      <c r="N45" s="104">
        <f>1*26100</f>
        <v>26100</v>
      </c>
      <c r="O45" s="104">
        <f t="shared" si="1"/>
        <v>52200</v>
      </c>
      <c r="P45" s="170" t="s">
        <v>20</v>
      </c>
      <c r="Q45" s="158"/>
      <c r="R45" s="156"/>
      <c r="S45" s="141"/>
      <c r="T45" s="158"/>
      <c r="U45" s="142"/>
      <c r="V45" s="138"/>
    </row>
    <row r="46" spans="1:22" s="73" customFormat="1" ht="15.75" customHeight="1">
      <c r="A46" s="70">
        <v>1</v>
      </c>
      <c r="B46" s="61">
        <v>4</v>
      </c>
      <c r="C46" s="106" t="s">
        <v>45</v>
      </c>
      <c r="D46" s="106" t="s">
        <v>191</v>
      </c>
      <c r="E46" s="106" t="s">
        <v>163</v>
      </c>
      <c r="F46" s="107">
        <v>16</v>
      </c>
      <c r="G46" s="108" t="s">
        <v>36</v>
      </c>
      <c r="H46" s="106" t="s">
        <v>37</v>
      </c>
      <c r="I46" s="101" t="s">
        <v>205</v>
      </c>
      <c r="J46" s="110" t="s">
        <v>209</v>
      </c>
      <c r="K46" s="108" t="s">
        <v>19</v>
      </c>
      <c r="L46" s="107">
        <v>25</v>
      </c>
      <c r="M46" s="111" t="s">
        <v>23</v>
      </c>
      <c r="N46" s="104">
        <f>1*10500</f>
        <v>10500</v>
      </c>
      <c r="O46" s="104">
        <f t="shared" si="1"/>
        <v>21000</v>
      </c>
      <c r="P46" s="170" t="s">
        <v>20</v>
      </c>
      <c r="Q46" s="158"/>
      <c r="R46" s="156"/>
      <c r="S46" s="141"/>
      <c r="T46" s="158"/>
      <c r="U46" s="142"/>
      <c r="V46" s="138"/>
    </row>
    <row r="47" spans="1:22" s="73" customFormat="1" ht="15.75" customHeight="1">
      <c r="A47" s="70">
        <v>1</v>
      </c>
      <c r="B47" s="95">
        <v>5</v>
      </c>
      <c r="C47" s="106" t="s">
        <v>45</v>
      </c>
      <c r="D47" s="106" t="s">
        <v>348</v>
      </c>
      <c r="E47" s="106" t="s">
        <v>159</v>
      </c>
      <c r="F47" s="107">
        <v>31</v>
      </c>
      <c r="G47" s="108" t="s">
        <v>47</v>
      </c>
      <c r="H47" s="106" t="s">
        <v>17</v>
      </c>
      <c r="I47" s="101" t="s">
        <v>213</v>
      </c>
      <c r="J47" s="110" t="s">
        <v>214</v>
      </c>
      <c r="K47" s="108" t="s">
        <v>19</v>
      </c>
      <c r="L47" s="107">
        <v>6</v>
      </c>
      <c r="M47" s="111" t="s">
        <v>23</v>
      </c>
      <c r="N47" s="104">
        <f>1*13000</f>
        <v>13000</v>
      </c>
      <c r="O47" s="104">
        <f t="shared" si="1"/>
        <v>26000</v>
      </c>
      <c r="P47" s="170" t="s">
        <v>20</v>
      </c>
      <c r="Q47" s="158"/>
      <c r="R47" s="156"/>
      <c r="S47" s="141"/>
      <c r="T47" s="158"/>
      <c r="U47" s="142"/>
      <c r="V47" s="138"/>
    </row>
    <row r="48" spans="1:22" s="73" customFormat="1" ht="15.75" customHeight="1">
      <c r="A48" s="70">
        <v>1</v>
      </c>
      <c r="B48" s="61">
        <v>6</v>
      </c>
      <c r="C48" s="106" t="s">
        <v>45</v>
      </c>
      <c r="D48" s="106" t="s">
        <v>189</v>
      </c>
      <c r="E48" s="106" t="s">
        <v>131</v>
      </c>
      <c r="F48" s="107">
        <v>91</v>
      </c>
      <c r="G48" s="108" t="s">
        <v>47</v>
      </c>
      <c r="H48" s="106" t="s">
        <v>17</v>
      </c>
      <c r="I48" s="101" t="s">
        <v>207</v>
      </c>
      <c r="J48" s="110" t="s">
        <v>208</v>
      </c>
      <c r="K48" s="108" t="s">
        <v>19</v>
      </c>
      <c r="L48" s="107">
        <v>6</v>
      </c>
      <c r="M48" s="111" t="s">
        <v>23</v>
      </c>
      <c r="N48" s="104">
        <f>1*5000</f>
        <v>5000</v>
      </c>
      <c r="O48" s="104">
        <f t="shared" si="1"/>
        <v>10000</v>
      </c>
      <c r="P48" s="170" t="s">
        <v>20</v>
      </c>
      <c r="Q48" s="158"/>
      <c r="R48" s="156"/>
      <c r="S48" s="141"/>
      <c r="T48" s="158"/>
      <c r="U48" s="142"/>
      <c r="V48" s="138"/>
    </row>
    <row r="49" spans="1:22" s="73" customFormat="1" ht="15.75" customHeight="1" thickBot="1">
      <c r="A49" s="70">
        <v>1</v>
      </c>
      <c r="B49" s="97">
        <v>7</v>
      </c>
      <c r="C49" s="98" t="s">
        <v>45</v>
      </c>
      <c r="D49" s="98" t="s">
        <v>289</v>
      </c>
      <c r="E49" s="98" t="s">
        <v>290</v>
      </c>
      <c r="F49" s="99">
        <v>19</v>
      </c>
      <c r="G49" s="100" t="s">
        <v>47</v>
      </c>
      <c r="H49" s="98" t="s">
        <v>17</v>
      </c>
      <c r="I49" s="101" t="s">
        <v>294</v>
      </c>
      <c r="J49" s="102">
        <v>90464063</v>
      </c>
      <c r="K49" s="100" t="s">
        <v>18</v>
      </c>
      <c r="L49" s="99">
        <v>37</v>
      </c>
      <c r="M49" s="103" t="s">
        <v>23</v>
      </c>
      <c r="N49" s="105">
        <f>1*17000</f>
        <v>17000</v>
      </c>
      <c r="O49" s="105">
        <f t="shared" si="1"/>
        <v>34000</v>
      </c>
      <c r="P49" s="171" t="s">
        <v>20</v>
      </c>
      <c r="Q49" s="158"/>
      <c r="R49" s="156"/>
      <c r="S49" s="141"/>
      <c r="T49" s="158"/>
      <c r="U49" s="142"/>
      <c r="V49" s="138"/>
    </row>
    <row r="50" spans="2:22" ht="15.75" customHeight="1">
      <c r="B50" s="35"/>
      <c r="C50" s="4"/>
      <c r="D50" s="4"/>
      <c r="E50" s="4"/>
      <c r="F50" s="18"/>
      <c r="G50" s="5"/>
      <c r="H50" s="4"/>
      <c r="I50" s="6"/>
      <c r="J50" s="45"/>
      <c r="K50" s="5"/>
      <c r="L50" s="50">
        <f>SUM(L43:L49)</f>
        <v>108</v>
      </c>
      <c r="M50" s="22" t="s">
        <v>14</v>
      </c>
      <c r="N50" s="60">
        <f>SUM(N43:N49)</f>
        <v>105700</v>
      </c>
      <c r="O50" s="24">
        <f>SUM(O43:O49)</f>
        <v>211400</v>
      </c>
      <c r="P50" s="33"/>
      <c r="Q50" s="156"/>
      <c r="R50" s="156"/>
      <c r="S50" s="156"/>
      <c r="T50" s="156"/>
      <c r="U50" s="156"/>
      <c r="V50" s="135"/>
    </row>
    <row r="51" spans="2:22" ht="15.75">
      <c r="B51" s="190" t="s">
        <v>319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2"/>
      <c r="Q51" s="156"/>
      <c r="R51" s="156"/>
      <c r="S51" s="156"/>
      <c r="T51" s="156"/>
      <c r="U51" s="156"/>
      <c r="V51" s="135"/>
    </row>
    <row r="52" spans="2:22" ht="15.75">
      <c r="B52" s="190" t="s">
        <v>307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2"/>
      <c r="Q52" s="156"/>
      <c r="R52" s="156"/>
      <c r="S52" s="156"/>
      <c r="T52" s="156"/>
      <c r="U52" s="156"/>
      <c r="V52" s="135"/>
    </row>
    <row r="53" spans="2:22" ht="15.75">
      <c r="B53" s="190" t="s">
        <v>308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2"/>
      <c r="Q53" s="156"/>
      <c r="R53" s="156"/>
      <c r="S53" s="156"/>
      <c r="T53" s="156"/>
      <c r="U53" s="156"/>
      <c r="V53" s="135"/>
    </row>
    <row r="54" spans="2:22" ht="63.75">
      <c r="B54" s="34" t="s">
        <v>1</v>
      </c>
      <c r="C54" s="9" t="s">
        <v>2</v>
      </c>
      <c r="D54" s="9" t="s">
        <v>3</v>
      </c>
      <c r="E54" s="10" t="s">
        <v>4</v>
      </c>
      <c r="F54" s="19" t="s">
        <v>5</v>
      </c>
      <c r="G54" s="8" t="s">
        <v>6</v>
      </c>
      <c r="H54" s="10" t="s">
        <v>7</v>
      </c>
      <c r="I54" s="11" t="s">
        <v>8</v>
      </c>
      <c r="J54" s="46" t="s">
        <v>9</v>
      </c>
      <c r="K54" s="8" t="s">
        <v>10</v>
      </c>
      <c r="L54" s="19" t="s">
        <v>11</v>
      </c>
      <c r="M54" s="12" t="s">
        <v>12</v>
      </c>
      <c r="N54" s="180" t="s">
        <v>441</v>
      </c>
      <c r="O54" s="180" t="s">
        <v>445</v>
      </c>
      <c r="P54" s="166" t="s">
        <v>13</v>
      </c>
      <c r="Q54" s="156"/>
      <c r="R54" s="156"/>
      <c r="S54" s="156"/>
      <c r="T54" s="156"/>
      <c r="U54" s="156"/>
      <c r="V54" s="135"/>
    </row>
    <row r="55" spans="1:22" s="73" customFormat="1" ht="15.75" customHeight="1">
      <c r="A55" s="70">
        <v>1</v>
      </c>
      <c r="B55" s="61">
        <v>1</v>
      </c>
      <c r="C55" s="83" t="s">
        <v>45</v>
      </c>
      <c r="D55" s="83" t="s">
        <v>181</v>
      </c>
      <c r="E55" s="83" t="s">
        <v>48</v>
      </c>
      <c r="F55" s="79">
        <v>0</v>
      </c>
      <c r="G55" s="78" t="s">
        <v>16</v>
      </c>
      <c r="H55" s="83" t="s">
        <v>17</v>
      </c>
      <c r="I55" s="84" t="s">
        <v>226</v>
      </c>
      <c r="J55" s="85" t="s">
        <v>376</v>
      </c>
      <c r="K55" s="78" t="s">
        <v>19</v>
      </c>
      <c r="L55" s="79">
        <v>40</v>
      </c>
      <c r="M55" s="80" t="s">
        <v>23</v>
      </c>
      <c r="N55" s="81">
        <f>1*22000</f>
        <v>22000</v>
      </c>
      <c r="O55" s="81">
        <f>$Q$1*N55</f>
        <v>44000</v>
      </c>
      <c r="P55" s="172" t="s">
        <v>20</v>
      </c>
      <c r="Q55" s="142"/>
      <c r="R55" s="156"/>
      <c r="S55" s="141"/>
      <c r="T55" s="161"/>
      <c r="U55" s="142"/>
      <c r="V55" s="138"/>
    </row>
    <row r="56" spans="1:22" s="73" customFormat="1" ht="15.75" customHeight="1">
      <c r="A56" s="70">
        <v>1</v>
      </c>
      <c r="B56" s="61">
        <v>2</v>
      </c>
      <c r="C56" s="83" t="s">
        <v>45</v>
      </c>
      <c r="D56" s="83" t="s">
        <v>444</v>
      </c>
      <c r="E56" s="83" t="s">
        <v>133</v>
      </c>
      <c r="F56" s="79">
        <v>59</v>
      </c>
      <c r="G56" s="78" t="s">
        <v>16</v>
      </c>
      <c r="H56" s="83" t="s">
        <v>17</v>
      </c>
      <c r="I56" s="84" t="s">
        <v>224</v>
      </c>
      <c r="J56" s="85" t="s">
        <v>377</v>
      </c>
      <c r="K56" s="78" t="s">
        <v>34</v>
      </c>
      <c r="L56" s="79">
        <v>80</v>
      </c>
      <c r="M56" s="80" t="s">
        <v>23</v>
      </c>
      <c r="N56" s="81">
        <f>1*75500</f>
        <v>75500</v>
      </c>
      <c r="O56" s="81">
        <f>$Q$1*N56</f>
        <v>151000</v>
      </c>
      <c r="P56" s="172" t="s">
        <v>20</v>
      </c>
      <c r="Q56" s="142"/>
      <c r="R56" s="156"/>
      <c r="S56" s="141"/>
      <c r="T56" s="161"/>
      <c r="U56" s="142"/>
      <c r="V56" s="138"/>
    </row>
    <row r="57" spans="1:22" s="73" customFormat="1" ht="15.75" customHeight="1">
      <c r="A57" s="70">
        <v>1</v>
      </c>
      <c r="B57" s="61">
        <v>3</v>
      </c>
      <c r="C57" s="83" t="s">
        <v>45</v>
      </c>
      <c r="D57" s="83" t="s">
        <v>443</v>
      </c>
      <c r="E57" s="83" t="s">
        <v>293</v>
      </c>
      <c r="F57" s="79"/>
      <c r="G57" s="78" t="s">
        <v>16</v>
      </c>
      <c r="H57" s="83" t="s">
        <v>17</v>
      </c>
      <c r="I57" s="84" t="s">
        <v>295</v>
      </c>
      <c r="J57" s="77">
        <v>93236118</v>
      </c>
      <c r="K57" s="78" t="s">
        <v>18</v>
      </c>
      <c r="L57" s="79">
        <v>5</v>
      </c>
      <c r="M57" s="80" t="s">
        <v>23</v>
      </c>
      <c r="N57" s="81">
        <f>1*10700</f>
        <v>10700</v>
      </c>
      <c r="O57" s="81">
        <f>$Q$1*N57</f>
        <v>21400</v>
      </c>
      <c r="P57" s="172" t="s">
        <v>20</v>
      </c>
      <c r="Q57" s="142"/>
      <c r="R57" s="156"/>
      <c r="S57" s="141"/>
      <c r="T57" s="161"/>
      <c r="U57" s="142"/>
      <c r="V57" s="138"/>
    </row>
    <row r="58" spans="1:22" s="73" customFormat="1" ht="15.75" customHeight="1">
      <c r="A58" s="70">
        <v>1</v>
      </c>
      <c r="B58" s="61">
        <v>4</v>
      </c>
      <c r="C58" s="83" t="s">
        <v>45</v>
      </c>
      <c r="D58" s="83" t="s">
        <v>182</v>
      </c>
      <c r="E58" s="83" t="s">
        <v>302</v>
      </c>
      <c r="F58" s="79" t="s">
        <v>347</v>
      </c>
      <c r="G58" s="78" t="s">
        <v>16</v>
      </c>
      <c r="H58" s="83" t="s">
        <v>304</v>
      </c>
      <c r="I58" s="84" t="s">
        <v>356</v>
      </c>
      <c r="J58" s="77">
        <v>90378399</v>
      </c>
      <c r="K58" s="78" t="s">
        <v>18</v>
      </c>
      <c r="L58" s="79">
        <v>12</v>
      </c>
      <c r="M58" s="80" t="s">
        <v>23</v>
      </c>
      <c r="N58" s="82">
        <f>1*2800</f>
        <v>2800</v>
      </c>
      <c r="O58" s="82">
        <f>$Q$1*N58</f>
        <v>5600</v>
      </c>
      <c r="P58" s="172" t="s">
        <v>20</v>
      </c>
      <c r="Q58" s="142"/>
      <c r="R58" s="156"/>
      <c r="S58" s="141"/>
      <c r="T58" s="161"/>
      <c r="U58" s="142"/>
      <c r="V58" s="138"/>
    </row>
    <row r="59" spans="1:22" s="73" customFormat="1" ht="15.75" customHeight="1">
      <c r="A59" s="76">
        <v>1</v>
      </c>
      <c r="B59" s="61">
        <v>5</v>
      </c>
      <c r="C59" s="83" t="s">
        <v>45</v>
      </c>
      <c r="D59" s="83" t="s">
        <v>360</v>
      </c>
      <c r="E59" s="83" t="s">
        <v>139</v>
      </c>
      <c r="F59" s="79" t="s">
        <v>361</v>
      </c>
      <c r="G59" s="78" t="s">
        <v>16</v>
      </c>
      <c r="H59" s="83" t="s">
        <v>17</v>
      </c>
      <c r="I59" s="84" t="s">
        <v>370</v>
      </c>
      <c r="J59" s="77">
        <v>93794778</v>
      </c>
      <c r="K59" s="78" t="s">
        <v>18</v>
      </c>
      <c r="L59" s="79">
        <v>22</v>
      </c>
      <c r="M59" s="80" t="s">
        <v>23</v>
      </c>
      <c r="N59" s="82">
        <f>1*18500</f>
        <v>18500</v>
      </c>
      <c r="O59" s="82">
        <f>$Q$1*N59</f>
        <v>37000</v>
      </c>
      <c r="P59" s="172" t="s">
        <v>20</v>
      </c>
      <c r="Q59" s="162"/>
      <c r="R59" s="156"/>
      <c r="S59" s="141"/>
      <c r="T59" s="161"/>
      <c r="U59" s="142"/>
      <c r="V59" s="138"/>
    </row>
    <row r="60" spans="2:22" ht="15.75" customHeight="1">
      <c r="B60" s="35"/>
      <c r="C60" s="4"/>
      <c r="D60" s="4"/>
      <c r="E60" s="4"/>
      <c r="F60" s="18"/>
      <c r="G60" s="5"/>
      <c r="H60" s="4"/>
      <c r="I60" s="6"/>
      <c r="J60" s="45"/>
      <c r="K60" s="5"/>
      <c r="L60" s="50">
        <f>SUM(L55:L59)</f>
        <v>159</v>
      </c>
      <c r="M60" s="22" t="s">
        <v>14</v>
      </c>
      <c r="N60" s="60">
        <f>SUM(N55:N59)</f>
        <v>129500</v>
      </c>
      <c r="O60" s="24">
        <f>SUM(O55:O59)</f>
        <v>259000</v>
      </c>
      <c r="P60" s="33"/>
      <c r="Q60" s="156"/>
      <c r="R60" s="156"/>
      <c r="S60" s="156"/>
      <c r="T60" s="156"/>
      <c r="U60" s="156"/>
      <c r="V60" s="135"/>
    </row>
    <row r="61" spans="2:22" ht="15.75">
      <c r="B61" s="190" t="s">
        <v>320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2"/>
      <c r="Q61" s="156"/>
      <c r="R61" s="156"/>
      <c r="S61" s="156"/>
      <c r="T61" s="156"/>
      <c r="U61" s="156"/>
      <c r="V61" s="135"/>
    </row>
    <row r="62" spans="2:22" ht="15.75">
      <c r="B62" s="190" t="s">
        <v>307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2"/>
      <c r="Q62" s="156"/>
      <c r="R62" s="156"/>
      <c r="S62" s="156"/>
      <c r="T62" s="156"/>
      <c r="U62" s="156"/>
      <c r="V62" s="135"/>
    </row>
    <row r="63" spans="2:22" ht="15.75">
      <c r="B63" s="190" t="s">
        <v>308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2"/>
      <c r="Q63" s="156"/>
      <c r="R63" s="156"/>
      <c r="S63" s="156"/>
      <c r="T63" s="156"/>
      <c r="U63" s="156"/>
      <c r="V63" s="135"/>
    </row>
    <row r="64" spans="2:22" ht="63.75">
      <c r="B64" s="34" t="s">
        <v>1</v>
      </c>
      <c r="C64" s="9" t="s">
        <v>2</v>
      </c>
      <c r="D64" s="9" t="s">
        <v>3</v>
      </c>
      <c r="E64" s="10" t="s">
        <v>4</v>
      </c>
      <c r="F64" s="19" t="s">
        <v>5</v>
      </c>
      <c r="G64" s="8" t="s">
        <v>6</v>
      </c>
      <c r="H64" s="10" t="s">
        <v>7</v>
      </c>
      <c r="I64" s="11" t="s">
        <v>8</v>
      </c>
      <c r="J64" s="46" t="s">
        <v>9</v>
      </c>
      <c r="K64" s="8" t="s">
        <v>10</v>
      </c>
      <c r="L64" s="19" t="s">
        <v>11</v>
      </c>
      <c r="M64" s="12" t="s">
        <v>12</v>
      </c>
      <c r="N64" s="180" t="s">
        <v>441</v>
      </c>
      <c r="O64" s="180" t="s">
        <v>445</v>
      </c>
      <c r="P64" s="166" t="s">
        <v>13</v>
      </c>
      <c r="Q64" s="156"/>
      <c r="R64" s="156"/>
      <c r="S64" s="156"/>
      <c r="T64" s="156"/>
      <c r="U64" s="156"/>
      <c r="V64" s="135"/>
    </row>
    <row r="65" spans="1:22" ht="15.75" customHeight="1">
      <c r="A65" s="54">
        <v>1</v>
      </c>
      <c r="B65" s="112">
        <v>1</v>
      </c>
      <c r="C65" s="147" t="s">
        <v>45</v>
      </c>
      <c r="D65" s="147" t="s">
        <v>0</v>
      </c>
      <c r="E65" s="147" t="s">
        <v>121</v>
      </c>
      <c r="F65" s="148">
        <v>19</v>
      </c>
      <c r="G65" s="149" t="s">
        <v>46</v>
      </c>
      <c r="H65" s="147" t="s">
        <v>17</v>
      </c>
      <c r="I65" s="150" t="s">
        <v>230</v>
      </c>
      <c r="J65" s="151" t="s">
        <v>231</v>
      </c>
      <c r="K65" s="149" t="s">
        <v>19</v>
      </c>
      <c r="L65" s="148">
        <v>3</v>
      </c>
      <c r="M65" s="152" t="s">
        <v>23</v>
      </c>
      <c r="N65" s="153">
        <f>1*3500</f>
        <v>3500</v>
      </c>
      <c r="O65" s="153">
        <f aca="true" t="shared" si="2" ref="O65:O104">$Q$1*N65</f>
        <v>7000</v>
      </c>
      <c r="P65" s="173" t="s">
        <v>20</v>
      </c>
      <c r="Q65" s="156"/>
      <c r="R65" s="156"/>
      <c r="S65" s="164"/>
      <c r="T65" s="163"/>
      <c r="U65" s="156"/>
      <c r="V65" s="135"/>
    </row>
    <row r="66" spans="1:22" ht="15.75" customHeight="1">
      <c r="A66" s="54">
        <v>1</v>
      </c>
      <c r="B66" s="61">
        <v>2</v>
      </c>
      <c r="C66" s="120" t="s">
        <v>45</v>
      </c>
      <c r="D66" s="120" t="s">
        <v>0</v>
      </c>
      <c r="E66" s="120" t="s">
        <v>122</v>
      </c>
      <c r="F66" s="121">
        <v>64</v>
      </c>
      <c r="G66" s="122" t="s">
        <v>47</v>
      </c>
      <c r="H66" s="120" t="s">
        <v>17</v>
      </c>
      <c r="I66" s="123" t="s">
        <v>232</v>
      </c>
      <c r="J66" s="124" t="s">
        <v>233</v>
      </c>
      <c r="K66" s="122" t="s">
        <v>19</v>
      </c>
      <c r="L66" s="121">
        <v>6</v>
      </c>
      <c r="M66" s="125" t="s">
        <v>23</v>
      </c>
      <c r="N66" s="153">
        <f>1*11500</f>
        <v>11500</v>
      </c>
      <c r="O66" s="126">
        <f t="shared" si="2"/>
        <v>23000</v>
      </c>
      <c r="P66" s="174" t="s">
        <v>20</v>
      </c>
      <c r="Q66" s="156"/>
      <c r="R66" s="156"/>
      <c r="S66" s="164"/>
      <c r="T66" s="163"/>
      <c r="U66" s="156"/>
      <c r="V66" s="135"/>
    </row>
    <row r="67" spans="1:22" ht="15.75" customHeight="1">
      <c r="A67" s="54">
        <v>1</v>
      </c>
      <c r="B67" s="112">
        <v>3</v>
      </c>
      <c r="C67" s="120" t="s">
        <v>45</v>
      </c>
      <c r="D67" s="120" t="s">
        <v>0</v>
      </c>
      <c r="E67" s="120" t="s">
        <v>123</v>
      </c>
      <c r="F67" s="121" t="s">
        <v>49</v>
      </c>
      <c r="G67" s="122" t="s">
        <v>16</v>
      </c>
      <c r="H67" s="120" t="s">
        <v>17</v>
      </c>
      <c r="I67" s="123" t="s">
        <v>234</v>
      </c>
      <c r="J67" s="124" t="s">
        <v>235</v>
      </c>
      <c r="K67" s="122" t="s">
        <v>19</v>
      </c>
      <c r="L67" s="121">
        <v>12</v>
      </c>
      <c r="M67" s="125" t="s">
        <v>23</v>
      </c>
      <c r="N67" s="126">
        <f>1*3500</f>
        <v>3500</v>
      </c>
      <c r="O67" s="126">
        <f t="shared" si="2"/>
        <v>7000</v>
      </c>
      <c r="P67" s="174" t="s">
        <v>20</v>
      </c>
      <c r="Q67" s="156"/>
      <c r="R67" s="156"/>
      <c r="S67" s="164"/>
      <c r="T67" s="163"/>
      <c r="U67" s="156"/>
      <c r="V67" s="135"/>
    </row>
    <row r="68" spans="1:22" ht="15.75" customHeight="1">
      <c r="A68" s="54">
        <v>1</v>
      </c>
      <c r="B68" s="61">
        <v>4</v>
      </c>
      <c r="C68" s="120" t="s">
        <v>45</v>
      </c>
      <c r="D68" s="120" t="s">
        <v>0</v>
      </c>
      <c r="E68" s="120" t="s">
        <v>126</v>
      </c>
      <c r="F68" s="121">
        <v>17</v>
      </c>
      <c r="G68" s="122" t="s">
        <v>46</v>
      </c>
      <c r="H68" s="120" t="s">
        <v>17</v>
      </c>
      <c r="I68" s="123" t="s">
        <v>236</v>
      </c>
      <c r="J68" s="124" t="s">
        <v>237</v>
      </c>
      <c r="K68" s="122" t="s">
        <v>19</v>
      </c>
      <c r="L68" s="121">
        <v>3</v>
      </c>
      <c r="M68" s="125" t="s">
        <v>23</v>
      </c>
      <c r="N68" s="126">
        <f>1*2000</f>
        <v>2000</v>
      </c>
      <c r="O68" s="126">
        <f t="shared" si="2"/>
        <v>4000</v>
      </c>
      <c r="P68" s="174" t="s">
        <v>20</v>
      </c>
      <c r="Q68" s="156"/>
      <c r="R68" s="156"/>
      <c r="S68" s="164"/>
      <c r="T68" s="163"/>
      <c r="U68" s="156"/>
      <c r="V68" s="135"/>
    </row>
    <row r="69" spans="1:22" ht="15.75" customHeight="1">
      <c r="A69" s="54">
        <v>1</v>
      </c>
      <c r="B69" s="112">
        <v>5</v>
      </c>
      <c r="C69" s="120" t="s">
        <v>45</v>
      </c>
      <c r="D69" s="120" t="s">
        <v>0</v>
      </c>
      <c r="E69" s="120" t="s">
        <v>15</v>
      </c>
      <c r="F69" s="121">
        <v>36</v>
      </c>
      <c r="G69" s="122" t="s">
        <v>16</v>
      </c>
      <c r="H69" s="120" t="s">
        <v>17</v>
      </c>
      <c r="I69" s="123" t="s">
        <v>239</v>
      </c>
      <c r="J69" s="124">
        <v>83637355</v>
      </c>
      <c r="K69" s="122" t="s">
        <v>21</v>
      </c>
      <c r="L69" s="121">
        <v>1</v>
      </c>
      <c r="M69" s="125" t="s">
        <v>23</v>
      </c>
      <c r="N69" s="126">
        <f>1*1000</f>
        <v>1000</v>
      </c>
      <c r="O69" s="126">
        <f t="shared" si="2"/>
        <v>2000</v>
      </c>
      <c r="P69" s="174" t="s">
        <v>20</v>
      </c>
      <c r="Q69" s="156"/>
      <c r="R69" s="156"/>
      <c r="S69" s="164"/>
      <c r="T69" s="163"/>
      <c r="U69" s="156"/>
      <c r="V69" s="135"/>
    </row>
    <row r="70" spans="1:22" ht="15.75" customHeight="1">
      <c r="A70" s="54">
        <v>1</v>
      </c>
      <c r="B70" s="61">
        <v>6</v>
      </c>
      <c r="C70" s="120" t="s">
        <v>45</v>
      </c>
      <c r="D70" s="120" t="s">
        <v>0</v>
      </c>
      <c r="E70" s="120" t="s">
        <v>135</v>
      </c>
      <c r="F70" s="121" t="s">
        <v>51</v>
      </c>
      <c r="G70" s="122" t="s">
        <v>16</v>
      </c>
      <c r="H70" s="120" t="s">
        <v>17</v>
      </c>
      <c r="I70" s="123" t="s">
        <v>240</v>
      </c>
      <c r="J70" s="124">
        <v>94680848</v>
      </c>
      <c r="K70" s="122" t="s">
        <v>21</v>
      </c>
      <c r="L70" s="121">
        <v>3</v>
      </c>
      <c r="M70" s="125" t="s">
        <v>23</v>
      </c>
      <c r="N70" s="126">
        <f>1*15000</f>
        <v>15000</v>
      </c>
      <c r="O70" s="126">
        <f t="shared" si="2"/>
        <v>30000</v>
      </c>
      <c r="P70" s="174" t="s">
        <v>20</v>
      </c>
      <c r="Q70" s="156"/>
      <c r="R70" s="156"/>
      <c r="S70" s="164"/>
      <c r="T70" s="163"/>
      <c r="U70" s="156"/>
      <c r="V70" s="135"/>
    </row>
    <row r="71" spans="1:22" ht="15.75" customHeight="1">
      <c r="A71" s="54">
        <v>1</v>
      </c>
      <c r="B71" s="112">
        <v>7</v>
      </c>
      <c r="C71" s="120" t="s">
        <v>45</v>
      </c>
      <c r="D71" s="120" t="s">
        <v>0</v>
      </c>
      <c r="E71" s="120" t="s">
        <v>136</v>
      </c>
      <c r="F71" s="121">
        <v>17</v>
      </c>
      <c r="G71" s="122" t="s">
        <v>16</v>
      </c>
      <c r="H71" s="120" t="s">
        <v>17</v>
      </c>
      <c r="I71" s="123" t="s">
        <v>241</v>
      </c>
      <c r="J71" s="127" t="s">
        <v>408</v>
      </c>
      <c r="K71" s="122" t="s">
        <v>21</v>
      </c>
      <c r="L71" s="121">
        <v>1</v>
      </c>
      <c r="M71" s="125" t="s">
        <v>23</v>
      </c>
      <c r="N71" s="126">
        <f>1*4000</f>
        <v>4000</v>
      </c>
      <c r="O71" s="126">
        <f t="shared" si="2"/>
        <v>8000</v>
      </c>
      <c r="P71" s="174" t="s">
        <v>20</v>
      </c>
      <c r="Q71" s="156"/>
      <c r="R71" s="156"/>
      <c r="S71" s="164"/>
      <c r="T71" s="163"/>
      <c r="U71" s="156"/>
      <c r="V71" s="135"/>
    </row>
    <row r="72" spans="1:22" ht="15.75" customHeight="1">
      <c r="A72" s="54">
        <v>1</v>
      </c>
      <c r="B72" s="61">
        <v>8</v>
      </c>
      <c r="C72" s="120" t="s">
        <v>45</v>
      </c>
      <c r="D72" s="120" t="s">
        <v>0</v>
      </c>
      <c r="E72" s="120" t="s">
        <v>136</v>
      </c>
      <c r="F72" s="121">
        <v>37</v>
      </c>
      <c r="G72" s="122" t="s">
        <v>16</v>
      </c>
      <c r="H72" s="120" t="s">
        <v>17</v>
      </c>
      <c r="I72" s="123" t="s">
        <v>242</v>
      </c>
      <c r="J72" s="124">
        <v>83993598</v>
      </c>
      <c r="K72" s="122" t="s">
        <v>21</v>
      </c>
      <c r="L72" s="121">
        <v>6</v>
      </c>
      <c r="M72" s="125" t="s">
        <v>23</v>
      </c>
      <c r="N72" s="126">
        <f>1*3500</f>
        <v>3500</v>
      </c>
      <c r="O72" s="126">
        <f t="shared" si="2"/>
        <v>7000</v>
      </c>
      <c r="P72" s="174" t="s">
        <v>20</v>
      </c>
      <c r="Q72" s="156"/>
      <c r="R72" s="156"/>
      <c r="S72" s="164"/>
      <c r="T72" s="163"/>
      <c r="U72" s="156"/>
      <c r="V72" s="135"/>
    </row>
    <row r="73" spans="1:22" ht="15.75" customHeight="1">
      <c r="A73" s="54">
        <v>1</v>
      </c>
      <c r="B73" s="112">
        <v>9</v>
      </c>
      <c r="C73" s="120" t="s">
        <v>45</v>
      </c>
      <c r="D73" s="120" t="s">
        <v>0</v>
      </c>
      <c r="E73" s="120" t="s">
        <v>48</v>
      </c>
      <c r="F73" s="121">
        <v>5</v>
      </c>
      <c r="G73" s="122" t="s">
        <v>16</v>
      </c>
      <c r="H73" s="120" t="s">
        <v>17</v>
      </c>
      <c r="I73" s="123" t="s">
        <v>243</v>
      </c>
      <c r="J73" s="124" t="s">
        <v>244</v>
      </c>
      <c r="K73" s="122" t="s">
        <v>21</v>
      </c>
      <c r="L73" s="121">
        <v>1</v>
      </c>
      <c r="M73" s="125" t="s">
        <v>23</v>
      </c>
      <c r="N73" s="126">
        <f>1*500</f>
        <v>500</v>
      </c>
      <c r="O73" s="126">
        <f t="shared" si="2"/>
        <v>1000</v>
      </c>
      <c r="P73" s="174" t="s">
        <v>20</v>
      </c>
      <c r="Q73" s="156"/>
      <c r="R73" s="156"/>
      <c r="S73" s="164"/>
      <c r="T73" s="163"/>
      <c r="U73" s="156"/>
      <c r="V73" s="135"/>
    </row>
    <row r="74" spans="1:22" ht="15.75" customHeight="1">
      <c r="A74" s="54">
        <v>1</v>
      </c>
      <c r="B74" s="61">
        <v>10</v>
      </c>
      <c r="C74" s="120" t="s">
        <v>45</v>
      </c>
      <c r="D74" s="120" t="s">
        <v>0</v>
      </c>
      <c r="E74" s="120" t="s">
        <v>137</v>
      </c>
      <c r="F74" s="121">
        <v>1</v>
      </c>
      <c r="G74" s="122" t="s">
        <v>16</v>
      </c>
      <c r="H74" s="120" t="s">
        <v>17</v>
      </c>
      <c r="I74" s="123" t="s">
        <v>245</v>
      </c>
      <c r="J74" s="124" t="s">
        <v>52</v>
      </c>
      <c r="K74" s="122" t="s">
        <v>21</v>
      </c>
      <c r="L74" s="121">
        <v>1</v>
      </c>
      <c r="M74" s="125" t="s">
        <v>23</v>
      </c>
      <c r="N74" s="126">
        <f>1*8000</f>
        <v>8000</v>
      </c>
      <c r="O74" s="126">
        <f t="shared" si="2"/>
        <v>16000</v>
      </c>
      <c r="P74" s="174" t="s">
        <v>20</v>
      </c>
      <c r="Q74" s="156"/>
      <c r="R74" s="156"/>
      <c r="S74" s="164"/>
      <c r="T74" s="163"/>
      <c r="U74" s="156"/>
      <c r="V74" s="135"/>
    </row>
    <row r="75" spans="1:22" ht="15.75" customHeight="1">
      <c r="A75" s="54">
        <v>1</v>
      </c>
      <c r="B75" s="61">
        <v>11</v>
      </c>
      <c r="C75" s="120" t="s">
        <v>45</v>
      </c>
      <c r="D75" s="120" t="s">
        <v>0</v>
      </c>
      <c r="E75" s="120" t="s">
        <v>138</v>
      </c>
      <c r="F75" s="121">
        <v>11</v>
      </c>
      <c r="G75" s="122" t="s">
        <v>16</v>
      </c>
      <c r="H75" s="120" t="s">
        <v>17</v>
      </c>
      <c r="I75" s="123" t="s">
        <v>246</v>
      </c>
      <c r="J75" s="124">
        <v>83993578</v>
      </c>
      <c r="K75" s="122" t="s">
        <v>21</v>
      </c>
      <c r="L75" s="121">
        <v>1</v>
      </c>
      <c r="M75" s="125" t="s">
        <v>23</v>
      </c>
      <c r="N75" s="126">
        <f>1*500</f>
        <v>500</v>
      </c>
      <c r="O75" s="126">
        <f t="shared" si="2"/>
        <v>1000</v>
      </c>
      <c r="P75" s="174" t="s">
        <v>20</v>
      </c>
      <c r="Q75" s="156"/>
      <c r="R75" s="156"/>
      <c r="S75" s="164"/>
      <c r="T75" s="163"/>
      <c r="U75" s="156"/>
      <c r="V75" s="135"/>
    </row>
    <row r="76" spans="1:22" ht="15.75" customHeight="1">
      <c r="A76" s="54">
        <v>1</v>
      </c>
      <c r="B76" s="61">
        <v>12</v>
      </c>
      <c r="C76" s="120" t="s">
        <v>45</v>
      </c>
      <c r="D76" s="120" t="s">
        <v>0</v>
      </c>
      <c r="E76" s="120" t="s">
        <v>138</v>
      </c>
      <c r="F76" s="121">
        <v>16</v>
      </c>
      <c r="G76" s="122" t="s">
        <v>16</v>
      </c>
      <c r="H76" s="120" t="s">
        <v>17</v>
      </c>
      <c r="I76" s="123" t="s">
        <v>247</v>
      </c>
      <c r="J76" s="124">
        <v>83995270</v>
      </c>
      <c r="K76" s="122" t="s">
        <v>21</v>
      </c>
      <c r="L76" s="121">
        <v>1</v>
      </c>
      <c r="M76" s="125" t="s">
        <v>23</v>
      </c>
      <c r="N76" s="126">
        <f>1*400</f>
        <v>400</v>
      </c>
      <c r="O76" s="126">
        <f t="shared" si="2"/>
        <v>800</v>
      </c>
      <c r="P76" s="174" t="s">
        <v>20</v>
      </c>
      <c r="Q76" s="156"/>
      <c r="R76" s="156"/>
      <c r="S76" s="164"/>
      <c r="T76" s="163"/>
      <c r="U76" s="156"/>
      <c r="V76" s="135"/>
    </row>
    <row r="77" spans="1:22" ht="15.75" customHeight="1">
      <c r="A77" s="54">
        <v>1</v>
      </c>
      <c r="B77" s="112">
        <v>13</v>
      </c>
      <c r="C77" s="120" t="s">
        <v>45</v>
      </c>
      <c r="D77" s="120" t="s">
        <v>0</v>
      </c>
      <c r="E77" s="120" t="s">
        <v>139</v>
      </c>
      <c r="F77" s="121" t="s">
        <v>53</v>
      </c>
      <c r="G77" s="122" t="s">
        <v>16</v>
      </c>
      <c r="H77" s="120" t="s">
        <v>17</v>
      </c>
      <c r="I77" s="123" t="s">
        <v>248</v>
      </c>
      <c r="J77" s="124">
        <v>91232859</v>
      </c>
      <c r="K77" s="122" t="s">
        <v>21</v>
      </c>
      <c r="L77" s="121">
        <v>10</v>
      </c>
      <c r="M77" s="125" t="s">
        <v>23</v>
      </c>
      <c r="N77" s="126">
        <f>1*4800</f>
        <v>4800</v>
      </c>
      <c r="O77" s="126">
        <f t="shared" si="2"/>
        <v>9600</v>
      </c>
      <c r="P77" s="174" t="s">
        <v>20</v>
      </c>
      <c r="Q77" s="156"/>
      <c r="R77" s="156"/>
      <c r="S77" s="164"/>
      <c r="T77" s="163"/>
      <c r="U77" s="156"/>
      <c r="V77" s="135"/>
    </row>
    <row r="78" spans="1:22" ht="15.75" customHeight="1">
      <c r="A78" s="54">
        <v>1</v>
      </c>
      <c r="B78" s="61">
        <v>14</v>
      </c>
      <c r="C78" s="120" t="s">
        <v>45</v>
      </c>
      <c r="D78" s="120" t="s">
        <v>0</v>
      </c>
      <c r="E78" s="120" t="s">
        <v>140</v>
      </c>
      <c r="F78" s="121">
        <v>1</v>
      </c>
      <c r="G78" s="122" t="s">
        <v>16</v>
      </c>
      <c r="H78" s="120" t="s">
        <v>17</v>
      </c>
      <c r="I78" s="123" t="s">
        <v>249</v>
      </c>
      <c r="J78" s="124">
        <v>83637427</v>
      </c>
      <c r="K78" s="122" t="s">
        <v>21</v>
      </c>
      <c r="L78" s="121">
        <v>1</v>
      </c>
      <c r="M78" s="125" t="s">
        <v>23</v>
      </c>
      <c r="N78" s="126">
        <f>1*1500</f>
        <v>1500</v>
      </c>
      <c r="O78" s="126">
        <f t="shared" si="2"/>
        <v>3000</v>
      </c>
      <c r="P78" s="174" t="s">
        <v>20</v>
      </c>
      <c r="Q78" s="156"/>
      <c r="R78" s="156"/>
      <c r="S78" s="164"/>
      <c r="T78" s="163"/>
      <c r="U78" s="156"/>
      <c r="V78" s="135"/>
    </row>
    <row r="79" spans="1:22" ht="15.75" customHeight="1">
      <c r="A79" s="54">
        <v>1</v>
      </c>
      <c r="B79" s="112">
        <v>15</v>
      </c>
      <c r="C79" s="120" t="s">
        <v>45</v>
      </c>
      <c r="D79" s="120" t="s">
        <v>0</v>
      </c>
      <c r="E79" s="120" t="s">
        <v>141</v>
      </c>
      <c r="F79" s="121">
        <v>2</v>
      </c>
      <c r="G79" s="122" t="s">
        <v>47</v>
      </c>
      <c r="H79" s="120" t="s">
        <v>54</v>
      </c>
      <c r="I79" s="123" t="s">
        <v>399</v>
      </c>
      <c r="J79" s="124" t="s">
        <v>55</v>
      </c>
      <c r="K79" s="122" t="s">
        <v>21</v>
      </c>
      <c r="L79" s="121">
        <v>2</v>
      </c>
      <c r="M79" s="125" t="s">
        <v>23</v>
      </c>
      <c r="N79" s="126">
        <f>1*200</f>
        <v>200</v>
      </c>
      <c r="O79" s="126">
        <f t="shared" si="2"/>
        <v>400</v>
      </c>
      <c r="P79" s="174" t="s">
        <v>20</v>
      </c>
      <c r="Q79" s="156"/>
      <c r="R79" s="156"/>
      <c r="S79" s="164"/>
      <c r="T79" s="163"/>
      <c r="U79" s="156"/>
      <c r="V79" s="135"/>
    </row>
    <row r="80" spans="1:22" ht="15.75" customHeight="1">
      <c r="A80" s="54">
        <v>1</v>
      </c>
      <c r="B80" s="61">
        <v>16</v>
      </c>
      <c r="C80" s="120" t="s">
        <v>45</v>
      </c>
      <c r="D80" s="120" t="s">
        <v>0</v>
      </c>
      <c r="E80" s="120" t="s">
        <v>143</v>
      </c>
      <c r="F80" s="121">
        <v>25</v>
      </c>
      <c r="G80" s="122" t="s">
        <v>47</v>
      </c>
      <c r="H80" s="120" t="s">
        <v>17</v>
      </c>
      <c r="I80" s="123" t="s">
        <v>250</v>
      </c>
      <c r="J80" s="127" t="s">
        <v>400</v>
      </c>
      <c r="K80" s="122" t="s">
        <v>21</v>
      </c>
      <c r="L80" s="121">
        <v>1</v>
      </c>
      <c r="M80" s="125" t="s">
        <v>23</v>
      </c>
      <c r="N80" s="126">
        <f>1*800</f>
        <v>800</v>
      </c>
      <c r="O80" s="126">
        <f t="shared" si="2"/>
        <v>1600</v>
      </c>
      <c r="P80" s="174" t="s">
        <v>20</v>
      </c>
      <c r="Q80" s="156"/>
      <c r="R80" s="156"/>
      <c r="S80" s="164"/>
      <c r="T80" s="163"/>
      <c r="U80" s="156"/>
      <c r="V80" s="135"/>
    </row>
    <row r="81" spans="1:22" ht="15.75" customHeight="1">
      <c r="A81" s="54">
        <v>1</v>
      </c>
      <c r="B81" s="112">
        <v>17</v>
      </c>
      <c r="C81" s="120" t="s">
        <v>45</v>
      </c>
      <c r="D81" s="120" t="s">
        <v>0</v>
      </c>
      <c r="E81" s="120" t="s">
        <v>184</v>
      </c>
      <c r="F81" s="121">
        <v>12</v>
      </c>
      <c r="G81" s="122" t="s">
        <v>16</v>
      </c>
      <c r="H81" s="120" t="s">
        <v>17</v>
      </c>
      <c r="I81" s="123" t="s">
        <v>251</v>
      </c>
      <c r="J81" s="124">
        <v>83637452</v>
      </c>
      <c r="K81" s="122" t="s">
        <v>21</v>
      </c>
      <c r="L81" s="121">
        <v>1</v>
      </c>
      <c r="M81" s="125" t="s">
        <v>23</v>
      </c>
      <c r="N81" s="126">
        <f>1*600</f>
        <v>600</v>
      </c>
      <c r="O81" s="126">
        <f t="shared" si="2"/>
        <v>1200</v>
      </c>
      <c r="P81" s="174" t="s">
        <v>20</v>
      </c>
      <c r="Q81" s="156"/>
      <c r="R81" s="156"/>
      <c r="S81" s="164"/>
      <c r="T81" s="163"/>
      <c r="U81" s="156"/>
      <c r="V81" s="135"/>
    </row>
    <row r="82" spans="1:22" ht="15.75" customHeight="1">
      <c r="A82" s="54">
        <v>1</v>
      </c>
      <c r="B82" s="61">
        <v>18</v>
      </c>
      <c r="C82" s="120" t="s">
        <v>45</v>
      </c>
      <c r="D82" s="120" t="s">
        <v>0</v>
      </c>
      <c r="E82" s="120" t="s">
        <v>145</v>
      </c>
      <c r="F82" s="121">
        <v>45</v>
      </c>
      <c r="G82" s="122" t="s">
        <v>16</v>
      </c>
      <c r="H82" s="120" t="s">
        <v>17</v>
      </c>
      <c r="I82" s="123" t="s">
        <v>252</v>
      </c>
      <c r="J82" s="124" t="s">
        <v>57</v>
      </c>
      <c r="K82" s="122" t="s">
        <v>21</v>
      </c>
      <c r="L82" s="121">
        <v>1</v>
      </c>
      <c r="M82" s="125" t="s">
        <v>23</v>
      </c>
      <c r="N82" s="126">
        <f>1*200</f>
        <v>200</v>
      </c>
      <c r="O82" s="126">
        <f t="shared" si="2"/>
        <v>400</v>
      </c>
      <c r="P82" s="174" t="s">
        <v>20</v>
      </c>
      <c r="Q82" s="156"/>
      <c r="R82" s="156"/>
      <c r="S82" s="164"/>
      <c r="T82" s="163"/>
      <c r="U82" s="156"/>
      <c r="V82" s="135"/>
    </row>
    <row r="83" spans="1:22" ht="15.75" customHeight="1">
      <c r="A83" s="54">
        <v>1</v>
      </c>
      <c r="B83" s="112">
        <v>19</v>
      </c>
      <c r="C83" s="120" t="s">
        <v>45</v>
      </c>
      <c r="D83" s="120" t="s">
        <v>0</v>
      </c>
      <c r="E83" s="120" t="s">
        <v>146</v>
      </c>
      <c r="F83" s="121" t="s">
        <v>58</v>
      </c>
      <c r="G83" s="122" t="s">
        <v>16</v>
      </c>
      <c r="H83" s="120" t="s">
        <v>17</v>
      </c>
      <c r="I83" s="123" t="s">
        <v>253</v>
      </c>
      <c r="J83" s="124" t="s">
        <v>254</v>
      </c>
      <c r="K83" s="122" t="s">
        <v>21</v>
      </c>
      <c r="L83" s="121">
        <v>2</v>
      </c>
      <c r="M83" s="125" t="s">
        <v>23</v>
      </c>
      <c r="N83" s="126">
        <f>1*600</f>
        <v>600</v>
      </c>
      <c r="O83" s="126">
        <f t="shared" si="2"/>
        <v>1200</v>
      </c>
      <c r="P83" s="174" t="s">
        <v>20</v>
      </c>
      <c r="Q83" s="156"/>
      <c r="R83" s="156"/>
      <c r="S83" s="164"/>
      <c r="T83" s="163"/>
      <c r="U83" s="156"/>
      <c r="V83" s="135"/>
    </row>
    <row r="84" spans="1:22" ht="15.75" customHeight="1">
      <c r="A84" s="54">
        <v>1</v>
      </c>
      <c r="B84" s="61">
        <v>20</v>
      </c>
      <c r="C84" s="120" t="s">
        <v>45</v>
      </c>
      <c r="D84" s="120" t="s">
        <v>0</v>
      </c>
      <c r="E84" s="120" t="s">
        <v>146</v>
      </c>
      <c r="F84" s="121" t="s">
        <v>62</v>
      </c>
      <c r="G84" s="122" t="s">
        <v>16</v>
      </c>
      <c r="H84" s="120" t="s">
        <v>17</v>
      </c>
      <c r="I84" s="123" t="s">
        <v>255</v>
      </c>
      <c r="J84" s="124">
        <v>23847354</v>
      </c>
      <c r="K84" s="122" t="s">
        <v>21</v>
      </c>
      <c r="L84" s="121">
        <v>1</v>
      </c>
      <c r="M84" s="125" t="s">
        <v>23</v>
      </c>
      <c r="N84" s="126">
        <f>1*500</f>
        <v>500</v>
      </c>
      <c r="O84" s="126">
        <f t="shared" si="2"/>
        <v>1000</v>
      </c>
      <c r="P84" s="174" t="s">
        <v>20</v>
      </c>
      <c r="Q84" s="156"/>
      <c r="R84" s="156"/>
      <c r="S84" s="164"/>
      <c r="T84" s="163"/>
      <c r="U84" s="156"/>
      <c r="V84" s="135"/>
    </row>
    <row r="85" spans="1:22" ht="15.75" customHeight="1">
      <c r="A85" s="54">
        <v>1</v>
      </c>
      <c r="B85" s="112">
        <v>21</v>
      </c>
      <c r="C85" s="120" t="s">
        <v>45</v>
      </c>
      <c r="D85" s="120" t="s">
        <v>0</v>
      </c>
      <c r="E85" s="120" t="s">
        <v>146</v>
      </c>
      <c r="F85" s="121" t="s">
        <v>59</v>
      </c>
      <c r="G85" s="122" t="s">
        <v>16</v>
      </c>
      <c r="H85" s="120" t="s">
        <v>17</v>
      </c>
      <c r="I85" s="123" t="s">
        <v>256</v>
      </c>
      <c r="J85" s="124" t="s">
        <v>257</v>
      </c>
      <c r="K85" s="122" t="s">
        <v>21</v>
      </c>
      <c r="L85" s="121">
        <v>1</v>
      </c>
      <c r="M85" s="125" t="s">
        <v>23</v>
      </c>
      <c r="N85" s="126">
        <f>1*700</f>
        <v>700</v>
      </c>
      <c r="O85" s="126">
        <f t="shared" si="2"/>
        <v>1400</v>
      </c>
      <c r="P85" s="174" t="s">
        <v>20</v>
      </c>
      <c r="Q85" s="156"/>
      <c r="R85" s="156"/>
      <c r="S85" s="164"/>
      <c r="T85" s="163"/>
      <c r="U85" s="156"/>
      <c r="V85" s="135"/>
    </row>
    <row r="86" spans="1:22" ht="15.75" customHeight="1">
      <c r="A86" s="54">
        <v>1</v>
      </c>
      <c r="B86" s="61">
        <v>22</v>
      </c>
      <c r="C86" s="120" t="s">
        <v>45</v>
      </c>
      <c r="D86" s="120" t="s">
        <v>0</v>
      </c>
      <c r="E86" s="120" t="s">
        <v>146</v>
      </c>
      <c r="F86" s="121" t="s">
        <v>60</v>
      </c>
      <c r="G86" s="122" t="s">
        <v>16</v>
      </c>
      <c r="H86" s="120" t="s">
        <v>17</v>
      </c>
      <c r="I86" s="123" t="s">
        <v>258</v>
      </c>
      <c r="J86" s="124">
        <v>27744053</v>
      </c>
      <c r="K86" s="122" t="s">
        <v>21</v>
      </c>
      <c r="L86" s="121">
        <v>2</v>
      </c>
      <c r="M86" s="125" t="s">
        <v>23</v>
      </c>
      <c r="N86" s="126">
        <f>1*700</f>
        <v>700</v>
      </c>
      <c r="O86" s="126">
        <f t="shared" si="2"/>
        <v>1400</v>
      </c>
      <c r="P86" s="174" t="s">
        <v>20</v>
      </c>
      <c r="Q86" s="156"/>
      <c r="R86" s="156"/>
      <c r="S86" s="164"/>
      <c r="T86" s="163"/>
      <c r="U86" s="156"/>
      <c r="V86" s="135"/>
    </row>
    <row r="87" spans="1:22" ht="15.75" customHeight="1">
      <c r="A87" s="54">
        <v>1</v>
      </c>
      <c r="B87" s="112">
        <v>23</v>
      </c>
      <c r="C87" s="120" t="s">
        <v>45</v>
      </c>
      <c r="D87" s="120" t="s">
        <v>0</v>
      </c>
      <c r="E87" s="120" t="s">
        <v>146</v>
      </c>
      <c r="F87" s="121" t="s">
        <v>63</v>
      </c>
      <c r="G87" s="122" t="s">
        <v>16</v>
      </c>
      <c r="H87" s="120" t="s">
        <v>17</v>
      </c>
      <c r="I87" s="123" t="s">
        <v>259</v>
      </c>
      <c r="J87" s="127" t="s">
        <v>403</v>
      </c>
      <c r="K87" s="122" t="s">
        <v>21</v>
      </c>
      <c r="L87" s="121">
        <v>1</v>
      </c>
      <c r="M87" s="125" t="s">
        <v>23</v>
      </c>
      <c r="N87" s="126">
        <f>1*500</f>
        <v>500</v>
      </c>
      <c r="O87" s="126">
        <f t="shared" si="2"/>
        <v>1000</v>
      </c>
      <c r="P87" s="174" t="s">
        <v>20</v>
      </c>
      <c r="Q87" s="156"/>
      <c r="R87" s="156"/>
      <c r="S87" s="164"/>
      <c r="T87" s="163"/>
      <c r="U87" s="156"/>
      <c r="V87" s="135"/>
    </row>
    <row r="88" spans="1:22" ht="15.75" customHeight="1">
      <c r="A88" s="54">
        <v>1</v>
      </c>
      <c r="B88" s="61">
        <v>24</v>
      </c>
      <c r="C88" s="120" t="s">
        <v>45</v>
      </c>
      <c r="D88" s="120" t="s">
        <v>0</v>
      </c>
      <c r="E88" s="120" t="s">
        <v>146</v>
      </c>
      <c r="F88" s="121" t="s">
        <v>185</v>
      </c>
      <c r="G88" s="122" t="s">
        <v>16</v>
      </c>
      <c r="H88" s="120" t="s">
        <v>17</v>
      </c>
      <c r="I88" s="123" t="s">
        <v>260</v>
      </c>
      <c r="J88" s="124" t="s">
        <v>261</v>
      </c>
      <c r="K88" s="122" t="s">
        <v>21</v>
      </c>
      <c r="L88" s="121">
        <v>1</v>
      </c>
      <c r="M88" s="125" t="s">
        <v>23</v>
      </c>
      <c r="N88" s="126">
        <f>1*600</f>
        <v>600</v>
      </c>
      <c r="O88" s="126">
        <f t="shared" si="2"/>
        <v>1200</v>
      </c>
      <c r="P88" s="174" t="s">
        <v>20</v>
      </c>
      <c r="Q88" s="156"/>
      <c r="R88" s="156"/>
      <c r="S88" s="164"/>
      <c r="T88" s="163"/>
      <c r="U88" s="156"/>
      <c r="V88" s="135"/>
    </row>
    <row r="89" spans="1:22" ht="15.75" customHeight="1">
      <c r="A89" s="54">
        <v>1</v>
      </c>
      <c r="B89" s="112">
        <v>25</v>
      </c>
      <c r="C89" s="120" t="s">
        <v>45</v>
      </c>
      <c r="D89" s="120" t="s">
        <v>0</v>
      </c>
      <c r="E89" s="120" t="s">
        <v>146</v>
      </c>
      <c r="F89" s="121">
        <v>6</v>
      </c>
      <c r="G89" s="122" t="s">
        <v>16</v>
      </c>
      <c r="H89" s="120" t="s">
        <v>17</v>
      </c>
      <c r="I89" s="123" t="s">
        <v>262</v>
      </c>
      <c r="J89" s="124" t="s">
        <v>61</v>
      </c>
      <c r="K89" s="122" t="s">
        <v>21</v>
      </c>
      <c r="L89" s="121">
        <v>12</v>
      </c>
      <c r="M89" s="125" t="s">
        <v>23</v>
      </c>
      <c r="N89" s="126">
        <f>1*3800</f>
        <v>3800</v>
      </c>
      <c r="O89" s="126">
        <f t="shared" si="2"/>
        <v>7600</v>
      </c>
      <c r="P89" s="174" t="s">
        <v>20</v>
      </c>
      <c r="Q89" s="156"/>
      <c r="R89" s="156"/>
      <c r="S89" s="164"/>
      <c r="T89" s="163"/>
      <c r="U89" s="156"/>
      <c r="V89" s="135"/>
    </row>
    <row r="90" spans="1:22" ht="15.75" customHeight="1">
      <c r="A90" s="54">
        <v>1</v>
      </c>
      <c r="B90" s="61">
        <v>26</v>
      </c>
      <c r="C90" s="120" t="s">
        <v>45</v>
      </c>
      <c r="D90" s="120" t="s">
        <v>0</v>
      </c>
      <c r="E90" s="120" t="s">
        <v>146</v>
      </c>
      <c r="F90" s="121" t="s">
        <v>263</v>
      </c>
      <c r="G90" s="122" t="s">
        <v>16</v>
      </c>
      <c r="H90" s="120" t="s">
        <v>17</v>
      </c>
      <c r="I90" s="123" t="s">
        <v>266</v>
      </c>
      <c r="J90" s="124">
        <v>93236089</v>
      </c>
      <c r="K90" s="122" t="s">
        <v>21</v>
      </c>
      <c r="L90" s="121">
        <v>10</v>
      </c>
      <c r="M90" s="125" t="s">
        <v>23</v>
      </c>
      <c r="N90" s="126">
        <f>1*1500</f>
        <v>1500</v>
      </c>
      <c r="O90" s="126">
        <f t="shared" si="2"/>
        <v>3000</v>
      </c>
      <c r="P90" s="174" t="s">
        <v>20</v>
      </c>
      <c r="Q90" s="156"/>
      <c r="R90" s="156"/>
      <c r="S90" s="164"/>
      <c r="T90" s="163"/>
      <c r="U90" s="156"/>
      <c r="V90" s="135"/>
    </row>
    <row r="91" spans="1:22" ht="15.75" customHeight="1">
      <c r="A91" s="54">
        <v>1</v>
      </c>
      <c r="B91" s="112">
        <v>27</v>
      </c>
      <c r="C91" s="120" t="s">
        <v>45</v>
      </c>
      <c r="D91" s="120" t="s">
        <v>0</v>
      </c>
      <c r="E91" s="120" t="s">
        <v>146</v>
      </c>
      <c r="F91" s="121" t="s">
        <v>264</v>
      </c>
      <c r="G91" s="122" t="s">
        <v>16</v>
      </c>
      <c r="H91" s="120" t="s">
        <v>17</v>
      </c>
      <c r="I91" s="123" t="s">
        <v>267</v>
      </c>
      <c r="J91" s="124">
        <v>93135092</v>
      </c>
      <c r="K91" s="122" t="s">
        <v>21</v>
      </c>
      <c r="L91" s="121">
        <v>10</v>
      </c>
      <c r="M91" s="125" t="s">
        <v>23</v>
      </c>
      <c r="N91" s="126">
        <f>1*4500</f>
        <v>4500</v>
      </c>
      <c r="O91" s="126">
        <f t="shared" si="2"/>
        <v>9000</v>
      </c>
      <c r="P91" s="174" t="s">
        <v>20</v>
      </c>
      <c r="Q91" s="156"/>
      <c r="R91" s="156"/>
      <c r="S91" s="164"/>
      <c r="T91" s="163"/>
      <c r="U91" s="156"/>
      <c r="V91" s="135"/>
    </row>
    <row r="92" spans="1:22" ht="15.75" customHeight="1">
      <c r="A92" s="54">
        <v>1</v>
      </c>
      <c r="B92" s="61">
        <v>28</v>
      </c>
      <c r="C92" s="120" t="s">
        <v>45</v>
      </c>
      <c r="D92" s="120" t="s">
        <v>0</v>
      </c>
      <c r="E92" s="120" t="s">
        <v>146</v>
      </c>
      <c r="F92" s="121" t="s">
        <v>265</v>
      </c>
      <c r="G92" s="122" t="s">
        <v>16</v>
      </c>
      <c r="H92" s="120" t="s">
        <v>17</v>
      </c>
      <c r="I92" s="123" t="s">
        <v>268</v>
      </c>
      <c r="J92" s="124">
        <v>93135062</v>
      </c>
      <c r="K92" s="122" t="s">
        <v>21</v>
      </c>
      <c r="L92" s="121">
        <v>10</v>
      </c>
      <c r="M92" s="125" t="s">
        <v>23</v>
      </c>
      <c r="N92" s="126">
        <f>1*900</f>
        <v>900</v>
      </c>
      <c r="O92" s="126">
        <f t="shared" si="2"/>
        <v>1800</v>
      </c>
      <c r="P92" s="174" t="s">
        <v>20</v>
      </c>
      <c r="Q92" s="156"/>
      <c r="R92" s="156"/>
      <c r="S92" s="164"/>
      <c r="T92" s="163"/>
      <c r="U92" s="156"/>
      <c r="V92" s="135"/>
    </row>
    <row r="93" spans="1:22" ht="15.75" customHeight="1">
      <c r="A93" s="54">
        <v>1</v>
      </c>
      <c r="B93" s="112">
        <v>29</v>
      </c>
      <c r="C93" s="120" t="s">
        <v>45</v>
      </c>
      <c r="D93" s="120" t="s">
        <v>0</v>
      </c>
      <c r="E93" s="120" t="s">
        <v>146</v>
      </c>
      <c r="F93" s="121" t="s">
        <v>270</v>
      </c>
      <c r="G93" s="122" t="s">
        <v>16</v>
      </c>
      <c r="H93" s="120" t="s">
        <v>17</v>
      </c>
      <c r="I93" s="123" t="s">
        <v>271</v>
      </c>
      <c r="J93" s="124">
        <v>90378432</v>
      </c>
      <c r="K93" s="122" t="s">
        <v>21</v>
      </c>
      <c r="L93" s="121">
        <v>5</v>
      </c>
      <c r="M93" s="125" t="s">
        <v>23</v>
      </c>
      <c r="N93" s="126">
        <f>1*1600</f>
        <v>1600</v>
      </c>
      <c r="O93" s="126">
        <f t="shared" si="2"/>
        <v>3200</v>
      </c>
      <c r="P93" s="174" t="s">
        <v>20</v>
      </c>
      <c r="Q93" s="156"/>
      <c r="R93" s="156"/>
      <c r="S93" s="164"/>
      <c r="T93" s="163"/>
      <c r="U93" s="156"/>
      <c r="V93" s="135"/>
    </row>
    <row r="94" spans="1:22" ht="15.75" customHeight="1">
      <c r="A94" s="54">
        <v>1</v>
      </c>
      <c r="B94" s="61">
        <v>30</v>
      </c>
      <c r="C94" s="120" t="s">
        <v>45</v>
      </c>
      <c r="D94" s="120" t="s">
        <v>0</v>
      </c>
      <c r="E94" s="120" t="s">
        <v>146</v>
      </c>
      <c r="F94" s="121" t="s">
        <v>269</v>
      </c>
      <c r="G94" s="122" t="s">
        <v>16</v>
      </c>
      <c r="H94" s="120" t="s">
        <v>17</v>
      </c>
      <c r="I94" s="123" t="s">
        <v>272</v>
      </c>
      <c r="J94" s="124">
        <v>90376652</v>
      </c>
      <c r="K94" s="122" t="s">
        <v>21</v>
      </c>
      <c r="L94" s="121">
        <v>5</v>
      </c>
      <c r="M94" s="125" t="s">
        <v>23</v>
      </c>
      <c r="N94" s="126">
        <f>1*800</f>
        <v>800</v>
      </c>
      <c r="O94" s="126">
        <f t="shared" si="2"/>
        <v>1600</v>
      </c>
      <c r="P94" s="174" t="s">
        <v>20</v>
      </c>
      <c r="Q94" s="156"/>
      <c r="R94" s="156"/>
      <c r="S94" s="164"/>
      <c r="T94" s="163"/>
      <c r="U94" s="156"/>
      <c r="V94" s="135"/>
    </row>
    <row r="95" spans="1:22" ht="15.75" customHeight="1">
      <c r="A95" s="54">
        <v>1</v>
      </c>
      <c r="B95" s="112">
        <v>31</v>
      </c>
      <c r="C95" s="120" t="s">
        <v>45</v>
      </c>
      <c r="D95" s="120" t="s">
        <v>64</v>
      </c>
      <c r="E95" s="120" t="s">
        <v>135</v>
      </c>
      <c r="F95" s="121" t="s">
        <v>65</v>
      </c>
      <c r="G95" s="122" t="s">
        <v>16</v>
      </c>
      <c r="H95" s="120" t="s">
        <v>17</v>
      </c>
      <c r="I95" s="123" t="s">
        <v>273</v>
      </c>
      <c r="J95" s="127" t="s">
        <v>407</v>
      </c>
      <c r="K95" s="122" t="s">
        <v>21</v>
      </c>
      <c r="L95" s="121">
        <v>4</v>
      </c>
      <c r="M95" s="125" t="s">
        <v>23</v>
      </c>
      <c r="N95" s="126">
        <f>1*400</f>
        <v>400</v>
      </c>
      <c r="O95" s="126">
        <f t="shared" si="2"/>
        <v>800</v>
      </c>
      <c r="P95" s="174" t="s">
        <v>20</v>
      </c>
      <c r="Q95" s="156"/>
      <c r="R95" s="156"/>
      <c r="S95" s="164"/>
      <c r="T95" s="163"/>
      <c r="U95" s="156"/>
      <c r="V95" s="135"/>
    </row>
    <row r="96" spans="1:22" ht="15.75" customHeight="1">
      <c r="A96" s="54">
        <v>1</v>
      </c>
      <c r="B96" s="61">
        <v>32</v>
      </c>
      <c r="C96" s="120" t="s">
        <v>45</v>
      </c>
      <c r="D96" s="120" t="s">
        <v>64</v>
      </c>
      <c r="E96" s="120" t="s">
        <v>135</v>
      </c>
      <c r="F96" s="121" t="s">
        <v>65</v>
      </c>
      <c r="G96" s="122" t="s">
        <v>16</v>
      </c>
      <c r="H96" s="120" t="s">
        <v>17</v>
      </c>
      <c r="I96" s="123" t="s">
        <v>274</v>
      </c>
      <c r="J96" s="127" t="s">
        <v>406</v>
      </c>
      <c r="K96" s="122" t="s">
        <v>21</v>
      </c>
      <c r="L96" s="121">
        <v>4</v>
      </c>
      <c r="M96" s="125" t="s">
        <v>23</v>
      </c>
      <c r="N96" s="126">
        <f>1*300</f>
        <v>300</v>
      </c>
      <c r="O96" s="126">
        <f t="shared" si="2"/>
        <v>600</v>
      </c>
      <c r="P96" s="174" t="s">
        <v>20</v>
      </c>
      <c r="Q96" s="156"/>
      <c r="R96" s="156"/>
      <c r="S96" s="164"/>
      <c r="T96" s="163"/>
      <c r="U96" s="156"/>
      <c r="V96" s="135"/>
    </row>
    <row r="97" spans="1:22" ht="15.75" customHeight="1">
      <c r="A97" s="54">
        <v>1</v>
      </c>
      <c r="B97" s="112">
        <v>33</v>
      </c>
      <c r="C97" s="120" t="s">
        <v>45</v>
      </c>
      <c r="D97" s="120" t="s">
        <v>276</v>
      </c>
      <c r="E97" s="120" t="s">
        <v>138</v>
      </c>
      <c r="F97" s="121">
        <v>1</v>
      </c>
      <c r="G97" s="122" t="s">
        <v>16</v>
      </c>
      <c r="H97" s="120" t="s">
        <v>17</v>
      </c>
      <c r="I97" s="123" t="s">
        <v>284</v>
      </c>
      <c r="J97" s="127" t="s">
        <v>404</v>
      </c>
      <c r="K97" s="122" t="s">
        <v>18</v>
      </c>
      <c r="L97" s="121">
        <v>4</v>
      </c>
      <c r="M97" s="125" t="s">
        <v>23</v>
      </c>
      <c r="N97" s="126">
        <f>1*1100</f>
        <v>1100</v>
      </c>
      <c r="O97" s="126">
        <f t="shared" si="2"/>
        <v>2200</v>
      </c>
      <c r="P97" s="174" t="s">
        <v>20</v>
      </c>
      <c r="Q97" s="156"/>
      <c r="R97" s="156"/>
      <c r="S97" s="164"/>
      <c r="T97" s="163"/>
      <c r="U97" s="156"/>
      <c r="V97" s="135"/>
    </row>
    <row r="98" spans="1:22" ht="15.75" customHeight="1">
      <c r="A98" s="54">
        <v>1</v>
      </c>
      <c r="B98" s="61">
        <v>34</v>
      </c>
      <c r="C98" s="120" t="s">
        <v>45</v>
      </c>
      <c r="D98" s="120" t="s">
        <v>276</v>
      </c>
      <c r="E98" s="120" t="s">
        <v>138</v>
      </c>
      <c r="F98" s="121">
        <v>1</v>
      </c>
      <c r="G98" s="122" t="s">
        <v>16</v>
      </c>
      <c r="H98" s="120" t="s">
        <v>17</v>
      </c>
      <c r="I98" s="123" t="s">
        <v>285</v>
      </c>
      <c r="J98" s="127" t="s">
        <v>405</v>
      </c>
      <c r="K98" s="122" t="s">
        <v>21</v>
      </c>
      <c r="L98" s="121">
        <v>13</v>
      </c>
      <c r="M98" s="125" t="s">
        <v>23</v>
      </c>
      <c r="N98" s="126">
        <f>1*2600</f>
        <v>2600</v>
      </c>
      <c r="O98" s="126">
        <f t="shared" si="2"/>
        <v>5200</v>
      </c>
      <c r="P98" s="174" t="s">
        <v>20</v>
      </c>
      <c r="Q98" s="156"/>
      <c r="R98" s="156"/>
      <c r="S98" s="164"/>
      <c r="T98" s="163"/>
      <c r="U98" s="156"/>
      <c r="V98" s="135"/>
    </row>
    <row r="99" spans="1:22" ht="15.75" customHeight="1">
      <c r="A99" s="54">
        <v>1</v>
      </c>
      <c r="B99" s="112">
        <v>35</v>
      </c>
      <c r="C99" s="120" t="s">
        <v>45</v>
      </c>
      <c r="D99" s="120" t="s">
        <v>276</v>
      </c>
      <c r="E99" s="120" t="s">
        <v>130</v>
      </c>
      <c r="F99" s="121" t="s">
        <v>277</v>
      </c>
      <c r="G99" s="122" t="s">
        <v>16</v>
      </c>
      <c r="H99" s="120" t="s">
        <v>17</v>
      </c>
      <c r="I99" s="123" t="s">
        <v>286</v>
      </c>
      <c r="J99" s="124" t="s">
        <v>278</v>
      </c>
      <c r="K99" s="122" t="s">
        <v>21</v>
      </c>
      <c r="L99" s="121">
        <v>18</v>
      </c>
      <c r="M99" s="125" t="s">
        <v>23</v>
      </c>
      <c r="N99" s="126">
        <f>1*6600</f>
        <v>6600</v>
      </c>
      <c r="O99" s="126">
        <f t="shared" si="2"/>
        <v>13200</v>
      </c>
      <c r="P99" s="174" t="s">
        <v>20</v>
      </c>
      <c r="Q99" s="156"/>
      <c r="R99" s="156"/>
      <c r="S99" s="164"/>
      <c r="T99" s="163"/>
      <c r="U99" s="156"/>
      <c r="V99" s="135"/>
    </row>
    <row r="100" spans="1:22" ht="15.75" customHeight="1">
      <c r="A100" s="54">
        <v>1</v>
      </c>
      <c r="B100" s="61">
        <v>36</v>
      </c>
      <c r="C100" s="120" t="s">
        <v>45</v>
      </c>
      <c r="D100" s="120" t="s">
        <v>276</v>
      </c>
      <c r="E100" s="120" t="s">
        <v>279</v>
      </c>
      <c r="F100" s="121" t="s">
        <v>280</v>
      </c>
      <c r="G100" s="122" t="s">
        <v>68</v>
      </c>
      <c r="H100" s="120" t="s">
        <v>281</v>
      </c>
      <c r="I100" s="123" t="s">
        <v>287</v>
      </c>
      <c r="J100" s="127" t="s">
        <v>402</v>
      </c>
      <c r="K100" s="122" t="s">
        <v>21</v>
      </c>
      <c r="L100" s="121">
        <v>6</v>
      </c>
      <c r="M100" s="125" t="s">
        <v>23</v>
      </c>
      <c r="N100" s="126">
        <f>1*3400</f>
        <v>3400</v>
      </c>
      <c r="O100" s="126">
        <f t="shared" si="2"/>
        <v>6800</v>
      </c>
      <c r="P100" s="174" t="s">
        <v>20</v>
      </c>
      <c r="Q100" s="156"/>
      <c r="R100" s="156"/>
      <c r="S100" s="164"/>
      <c r="T100" s="163"/>
      <c r="U100" s="156"/>
      <c r="V100" s="135"/>
    </row>
    <row r="101" spans="1:22" ht="15.75" customHeight="1">
      <c r="A101" s="54">
        <v>1</v>
      </c>
      <c r="B101" s="112">
        <v>37</v>
      </c>
      <c r="C101" s="120" t="s">
        <v>45</v>
      </c>
      <c r="D101" s="120" t="s">
        <v>276</v>
      </c>
      <c r="E101" s="120" t="s">
        <v>279</v>
      </c>
      <c r="F101" s="121" t="s">
        <v>280</v>
      </c>
      <c r="G101" s="122" t="s">
        <v>68</v>
      </c>
      <c r="H101" s="120" t="s">
        <v>281</v>
      </c>
      <c r="I101" s="123" t="s">
        <v>288</v>
      </c>
      <c r="J101" s="127" t="s">
        <v>401</v>
      </c>
      <c r="K101" s="122" t="s">
        <v>21</v>
      </c>
      <c r="L101" s="121">
        <v>6</v>
      </c>
      <c r="M101" s="125" t="s">
        <v>23</v>
      </c>
      <c r="N101" s="126">
        <f>1*850</f>
        <v>850</v>
      </c>
      <c r="O101" s="126">
        <f t="shared" si="2"/>
        <v>1700</v>
      </c>
      <c r="P101" s="174" t="s">
        <v>20</v>
      </c>
      <c r="Q101" s="156"/>
      <c r="R101" s="156"/>
      <c r="S101" s="164"/>
      <c r="T101" s="163"/>
      <c r="U101" s="156"/>
      <c r="V101" s="135"/>
    </row>
    <row r="102" spans="1:22" ht="15.75" customHeight="1">
      <c r="A102" s="54">
        <v>1</v>
      </c>
      <c r="B102" s="61">
        <v>38</v>
      </c>
      <c r="C102" s="120" t="s">
        <v>45</v>
      </c>
      <c r="D102" s="120" t="s">
        <v>276</v>
      </c>
      <c r="E102" s="120" t="s">
        <v>123</v>
      </c>
      <c r="F102" s="121">
        <v>32</v>
      </c>
      <c r="G102" s="122" t="s">
        <v>16</v>
      </c>
      <c r="H102" s="120" t="s">
        <v>17</v>
      </c>
      <c r="I102" s="123" t="s">
        <v>423</v>
      </c>
      <c r="J102" s="127" t="s">
        <v>424</v>
      </c>
      <c r="K102" s="122" t="s">
        <v>21</v>
      </c>
      <c r="L102" s="121">
        <v>17</v>
      </c>
      <c r="M102" s="125" t="s">
        <v>23</v>
      </c>
      <c r="N102" s="126">
        <f>1*5000</f>
        <v>5000</v>
      </c>
      <c r="O102" s="126">
        <f t="shared" si="2"/>
        <v>10000</v>
      </c>
      <c r="P102" s="174" t="s">
        <v>20</v>
      </c>
      <c r="Q102" s="156"/>
      <c r="R102" s="156"/>
      <c r="S102" s="164"/>
      <c r="T102" s="163"/>
      <c r="U102" s="156"/>
      <c r="V102" s="135"/>
    </row>
    <row r="103" spans="1:22" ht="15.75" customHeight="1">
      <c r="A103" s="54">
        <v>1</v>
      </c>
      <c r="B103" s="61">
        <v>39</v>
      </c>
      <c r="C103" s="120" t="s">
        <v>45</v>
      </c>
      <c r="D103" s="120" t="s">
        <v>276</v>
      </c>
      <c r="E103" s="120" t="s">
        <v>138</v>
      </c>
      <c r="F103" s="121" t="s">
        <v>425</v>
      </c>
      <c r="G103" s="122" t="s">
        <v>16</v>
      </c>
      <c r="H103" s="120" t="s">
        <v>17</v>
      </c>
      <c r="I103" s="123" t="s">
        <v>426</v>
      </c>
      <c r="J103" s="127" t="s">
        <v>427</v>
      </c>
      <c r="K103" s="122" t="s">
        <v>21</v>
      </c>
      <c r="L103" s="121">
        <v>10</v>
      </c>
      <c r="M103" s="125" t="s">
        <v>23</v>
      </c>
      <c r="N103" s="126">
        <f>1*2000</f>
        <v>2000</v>
      </c>
      <c r="O103" s="126">
        <f t="shared" si="2"/>
        <v>4000</v>
      </c>
      <c r="P103" s="174" t="s">
        <v>20</v>
      </c>
      <c r="Q103" s="156"/>
      <c r="R103" s="156"/>
      <c r="S103" s="164"/>
      <c r="T103" s="163"/>
      <c r="U103" s="156"/>
      <c r="V103" s="135"/>
    </row>
    <row r="104" spans="1:22" ht="15.75" customHeight="1">
      <c r="A104" s="54">
        <v>1</v>
      </c>
      <c r="B104" s="61">
        <v>40</v>
      </c>
      <c r="C104" s="120" t="s">
        <v>45</v>
      </c>
      <c r="D104" s="120" t="s">
        <v>276</v>
      </c>
      <c r="E104" s="120" t="s">
        <v>428</v>
      </c>
      <c r="F104" s="121">
        <v>20</v>
      </c>
      <c r="G104" s="122" t="s">
        <v>16</v>
      </c>
      <c r="H104" s="120" t="s">
        <v>17</v>
      </c>
      <c r="I104" s="123" t="s">
        <v>429</v>
      </c>
      <c r="J104" s="127" t="s">
        <v>430</v>
      </c>
      <c r="K104" s="122" t="s">
        <v>21</v>
      </c>
      <c r="L104" s="121">
        <v>3</v>
      </c>
      <c r="M104" s="125" t="s">
        <v>23</v>
      </c>
      <c r="N104" s="126">
        <f>1*200</f>
        <v>200</v>
      </c>
      <c r="O104" s="126">
        <f t="shared" si="2"/>
        <v>400</v>
      </c>
      <c r="P104" s="174" t="s">
        <v>20</v>
      </c>
      <c r="Q104" s="156"/>
      <c r="R104" s="156"/>
      <c r="S104" s="164"/>
      <c r="T104" s="163"/>
      <c r="U104" s="156"/>
      <c r="V104" s="135"/>
    </row>
    <row r="105" spans="1:22" ht="15.75" customHeight="1">
      <c r="A105" s="165"/>
      <c r="B105" s="35"/>
      <c r="C105" s="4"/>
      <c r="D105" s="4"/>
      <c r="E105" s="4"/>
      <c r="F105" s="18"/>
      <c r="G105" s="5"/>
      <c r="H105" s="4"/>
      <c r="I105" s="6"/>
      <c r="J105" s="45"/>
      <c r="K105" s="5"/>
      <c r="L105" s="50">
        <f>SUM(L65:L104)</f>
        <v>200</v>
      </c>
      <c r="M105" s="22" t="s">
        <v>14</v>
      </c>
      <c r="N105" s="24">
        <f>SUM(N65:N104)</f>
        <v>100650</v>
      </c>
      <c r="O105" s="24">
        <f>SUM(O65:O104)</f>
        <v>201300</v>
      </c>
      <c r="P105" s="33"/>
      <c r="Q105" s="156"/>
      <c r="R105" s="156"/>
      <c r="S105" s="156"/>
      <c r="T105" s="156"/>
      <c r="U105" s="156"/>
      <c r="V105" s="135"/>
    </row>
    <row r="106" spans="1:22" ht="15.75" customHeight="1">
      <c r="A106" s="165"/>
      <c r="B106" s="190" t="s">
        <v>321</v>
      </c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2"/>
      <c r="Q106" s="156"/>
      <c r="R106" s="156"/>
      <c r="S106" s="156"/>
      <c r="T106" s="156"/>
      <c r="U106" s="156"/>
      <c r="V106" s="135"/>
    </row>
    <row r="107" spans="1:22" ht="15.75" customHeight="1">
      <c r="A107" s="165"/>
      <c r="B107" s="190" t="s">
        <v>307</v>
      </c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2"/>
      <c r="Q107" s="156"/>
      <c r="R107" s="156"/>
      <c r="S107" s="156"/>
      <c r="T107" s="156"/>
      <c r="U107" s="156"/>
      <c r="V107" s="135"/>
    </row>
    <row r="108" spans="1:22" ht="15.75" customHeight="1">
      <c r="A108" s="165"/>
      <c r="B108" s="190" t="s">
        <v>308</v>
      </c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2"/>
      <c r="Q108" s="156"/>
      <c r="R108" s="156"/>
      <c r="S108" s="156"/>
      <c r="T108" s="156"/>
      <c r="U108" s="156"/>
      <c r="V108" s="135"/>
    </row>
    <row r="109" spans="1:22" ht="76.5" customHeight="1">
      <c r="A109" s="165"/>
      <c r="B109" s="34" t="s">
        <v>1</v>
      </c>
      <c r="C109" s="9" t="s">
        <v>2</v>
      </c>
      <c r="D109" s="9" t="s">
        <v>3</v>
      </c>
      <c r="E109" s="10" t="s">
        <v>4</v>
      </c>
      <c r="F109" s="19" t="s">
        <v>5</v>
      </c>
      <c r="G109" s="8" t="s">
        <v>6</v>
      </c>
      <c r="H109" s="10" t="s">
        <v>7</v>
      </c>
      <c r="I109" s="11" t="s">
        <v>8</v>
      </c>
      <c r="J109" s="46" t="s">
        <v>9</v>
      </c>
      <c r="K109" s="8" t="s">
        <v>10</v>
      </c>
      <c r="L109" s="19" t="s">
        <v>11</v>
      </c>
      <c r="M109" s="12" t="s">
        <v>12</v>
      </c>
      <c r="N109" s="180" t="s">
        <v>441</v>
      </c>
      <c r="O109" s="180" t="s">
        <v>445</v>
      </c>
      <c r="P109" s="166" t="s">
        <v>13</v>
      </c>
      <c r="Q109" s="156"/>
      <c r="R109" s="156"/>
      <c r="S109" s="156"/>
      <c r="T109" s="156"/>
      <c r="U109" s="156"/>
      <c r="V109" s="135"/>
    </row>
    <row r="110" spans="1:22" s="73" customFormat="1" ht="15.75" customHeight="1">
      <c r="A110" s="76">
        <v>1</v>
      </c>
      <c r="B110" s="61">
        <v>1</v>
      </c>
      <c r="C110" s="120" t="s">
        <v>45</v>
      </c>
      <c r="D110" s="120" t="s">
        <v>0</v>
      </c>
      <c r="E110" s="120" t="s">
        <v>124</v>
      </c>
      <c r="F110" s="121">
        <v>41</v>
      </c>
      <c r="G110" s="122" t="s">
        <v>47</v>
      </c>
      <c r="H110" s="120" t="s">
        <v>125</v>
      </c>
      <c r="I110" s="123" t="s">
        <v>220</v>
      </c>
      <c r="J110" s="124">
        <v>10292920</v>
      </c>
      <c r="K110" s="122" t="s">
        <v>18</v>
      </c>
      <c r="L110" s="121">
        <v>12</v>
      </c>
      <c r="M110" s="125" t="s">
        <v>23</v>
      </c>
      <c r="N110" s="126">
        <f>1*3000</f>
        <v>3000</v>
      </c>
      <c r="O110" s="126">
        <f aca="true" t="shared" si="3" ref="O110:O124">$Q$1*N110</f>
        <v>6000</v>
      </c>
      <c r="P110" s="174" t="s">
        <v>20</v>
      </c>
      <c r="Q110" s="142"/>
      <c r="R110" s="156"/>
      <c r="S110" s="141"/>
      <c r="T110" s="142"/>
      <c r="U110" s="142"/>
      <c r="V110" s="138"/>
    </row>
    <row r="111" spans="1:22" s="73" customFormat="1" ht="15.75" customHeight="1">
      <c r="A111" s="76">
        <v>1</v>
      </c>
      <c r="B111" s="61">
        <v>2</v>
      </c>
      <c r="C111" s="120" t="s">
        <v>45</v>
      </c>
      <c r="D111" s="120" t="s">
        <v>0</v>
      </c>
      <c r="E111" s="120" t="s">
        <v>25</v>
      </c>
      <c r="F111" s="121">
        <v>9</v>
      </c>
      <c r="G111" s="122" t="s">
        <v>16</v>
      </c>
      <c r="H111" s="120" t="s">
        <v>17</v>
      </c>
      <c r="I111" s="123" t="s">
        <v>221</v>
      </c>
      <c r="J111" s="124">
        <v>90641577</v>
      </c>
      <c r="K111" s="122" t="s">
        <v>18</v>
      </c>
      <c r="L111" s="121">
        <v>5</v>
      </c>
      <c r="M111" s="125" t="s">
        <v>23</v>
      </c>
      <c r="N111" s="126">
        <f>1*7500</f>
        <v>7500</v>
      </c>
      <c r="O111" s="126">
        <f t="shared" si="3"/>
        <v>15000</v>
      </c>
      <c r="P111" s="174" t="s">
        <v>20</v>
      </c>
      <c r="Q111" s="142"/>
      <c r="R111" s="156"/>
      <c r="S111" s="141"/>
      <c r="T111" s="142"/>
      <c r="U111" s="142"/>
      <c r="V111" s="138"/>
    </row>
    <row r="112" spans="1:22" s="73" customFormat="1" ht="15.75" customHeight="1">
      <c r="A112" s="76">
        <v>1</v>
      </c>
      <c r="B112" s="61">
        <v>3</v>
      </c>
      <c r="C112" s="120" t="s">
        <v>45</v>
      </c>
      <c r="D112" s="120" t="s">
        <v>0</v>
      </c>
      <c r="E112" s="120" t="s">
        <v>130</v>
      </c>
      <c r="F112" s="121" t="s">
        <v>225</v>
      </c>
      <c r="G112" s="122" t="s">
        <v>16</v>
      </c>
      <c r="H112" s="120" t="s">
        <v>17</v>
      </c>
      <c r="I112" s="123" t="s">
        <v>219</v>
      </c>
      <c r="J112" s="124">
        <v>93087187</v>
      </c>
      <c r="K112" s="122" t="s">
        <v>21</v>
      </c>
      <c r="L112" s="121">
        <v>2</v>
      </c>
      <c r="M112" s="125" t="s">
        <v>23</v>
      </c>
      <c r="N112" s="126">
        <f>1*22000</f>
        <v>22000</v>
      </c>
      <c r="O112" s="126">
        <f t="shared" si="3"/>
        <v>44000</v>
      </c>
      <c r="P112" s="174" t="s">
        <v>20</v>
      </c>
      <c r="Q112" s="142"/>
      <c r="R112" s="156"/>
      <c r="S112" s="141"/>
      <c r="T112" s="142"/>
      <c r="U112" s="142"/>
      <c r="V112" s="138"/>
    </row>
    <row r="113" spans="1:22" s="73" customFormat="1" ht="15.75" customHeight="1">
      <c r="A113" s="76">
        <v>1</v>
      </c>
      <c r="B113" s="61">
        <v>4</v>
      </c>
      <c r="C113" s="120" t="s">
        <v>45</v>
      </c>
      <c r="D113" s="120" t="s">
        <v>0</v>
      </c>
      <c r="E113" s="120" t="s">
        <v>127</v>
      </c>
      <c r="F113" s="121">
        <v>12</v>
      </c>
      <c r="G113" s="122" t="s">
        <v>16</v>
      </c>
      <c r="H113" s="120" t="s">
        <v>17</v>
      </c>
      <c r="I113" s="123" t="s">
        <v>222</v>
      </c>
      <c r="J113" s="124">
        <v>9885300</v>
      </c>
      <c r="K113" s="122" t="s">
        <v>18</v>
      </c>
      <c r="L113" s="121">
        <v>16</v>
      </c>
      <c r="M113" s="125" t="s">
        <v>23</v>
      </c>
      <c r="N113" s="126">
        <f>1*7000</f>
        <v>7000</v>
      </c>
      <c r="O113" s="126">
        <f t="shared" si="3"/>
        <v>14000</v>
      </c>
      <c r="P113" s="174" t="s">
        <v>20</v>
      </c>
      <c r="Q113" s="142"/>
      <c r="R113" s="156"/>
      <c r="S113" s="141"/>
      <c r="T113" s="142"/>
      <c r="U113" s="142"/>
      <c r="V113" s="138"/>
    </row>
    <row r="114" spans="1:22" s="73" customFormat="1" ht="15.75" customHeight="1">
      <c r="A114" s="76">
        <v>1</v>
      </c>
      <c r="B114" s="61">
        <v>5</v>
      </c>
      <c r="C114" s="120" t="s">
        <v>45</v>
      </c>
      <c r="D114" s="120" t="s">
        <v>0</v>
      </c>
      <c r="E114" s="120" t="s">
        <v>144</v>
      </c>
      <c r="F114" s="121" t="s">
        <v>56</v>
      </c>
      <c r="G114" s="122" t="s">
        <v>28</v>
      </c>
      <c r="H114" s="120" t="s">
        <v>29</v>
      </c>
      <c r="I114" s="123" t="s">
        <v>223</v>
      </c>
      <c r="J114" s="124">
        <v>70888612</v>
      </c>
      <c r="K114" s="122" t="s">
        <v>21</v>
      </c>
      <c r="L114" s="121">
        <v>2</v>
      </c>
      <c r="M114" s="125" t="s">
        <v>23</v>
      </c>
      <c r="N114" s="126">
        <f>1*1600</f>
        <v>1600</v>
      </c>
      <c r="O114" s="126">
        <f t="shared" si="3"/>
        <v>3200</v>
      </c>
      <c r="P114" s="174" t="s">
        <v>20</v>
      </c>
      <c r="Q114" s="142"/>
      <c r="R114" s="156"/>
      <c r="S114" s="141"/>
      <c r="T114" s="142"/>
      <c r="U114" s="142"/>
      <c r="V114" s="138"/>
    </row>
    <row r="115" spans="1:22" s="73" customFormat="1" ht="15.75" customHeight="1">
      <c r="A115" s="76">
        <v>1</v>
      </c>
      <c r="B115" s="61">
        <v>6</v>
      </c>
      <c r="C115" s="120" t="s">
        <v>45</v>
      </c>
      <c r="D115" s="120" t="s">
        <v>182</v>
      </c>
      <c r="E115" s="120" t="s">
        <v>160</v>
      </c>
      <c r="F115" s="121">
        <v>47</v>
      </c>
      <c r="G115" s="122" t="s">
        <v>16</v>
      </c>
      <c r="H115" s="120" t="s">
        <v>17</v>
      </c>
      <c r="I115" s="123" t="s">
        <v>117</v>
      </c>
      <c r="J115" s="127" t="s">
        <v>384</v>
      </c>
      <c r="K115" s="122" t="s">
        <v>19</v>
      </c>
      <c r="L115" s="121">
        <v>17</v>
      </c>
      <c r="M115" s="125" t="s">
        <v>23</v>
      </c>
      <c r="N115" s="126">
        <f>1*2500</f>
        <v>2500</v>
      </c>
      <c r="O115" s="126">
        <f t="shared" si="3"/>
        <v>5000</v>
      </c>
      <c r="P115" s="174" t="s">
        <v>20</v>
      </c>
      <c r="Q115" s="129"/>
      <c r="R115" s="156"/>
      <c r="S115" s="141"/>
      <c r="T115" s="142"/>
      <c r="U115" s="142"/>
      <c r="V115" s="138"/>
    </row>
    <row r="116" spans="1:22" s="73" customFormat="1" ht="15.75" customHeight="1">
      <c r="A116" s="76">
        <v>1</v>
      </c>
      <c r="B116" s="61">
        <v>7</v>
      </c>
      <c r="C116" s="120" t="s">
        <v>45</v>
      </c>
      <c r="D116" s="120" t="s">
        <v>442</v>
      </c>
      <c r="E116" s="120" t="s">
        <v>290</v>
      </c>
      <c r="F116" s="121">
        <v>9</v>
      </c>
      <c r="G116" s="122" t="s">
        <v>16</v>
      </c>
      <c r="H116" s="120" t="s">
        <v>17</v>
      </c>
      <c r="I116" s="123" t="s">
        <v>299</v>
      </c>
      <c r="J116" s="127" t="s">
        <v>381</v>
      </c>
      <c r="K116" s="122" t="s">
        <v>34</v>
      </c>
      <c r="L116" s="121">
        <v>120</v>
      </c>
      <c r="M116" s="125" t="s">
        <v>23</v>
      </c>
      <c r="N116" s="126">
        <f>1*60000</f>
        <v>60000</v>
      </c>
      <c r="O116" s="126">
        <f t="shared" si="3"/>
        <v>120000</v>
      </c>
      <c r="P116" s="174" t="s">
        <v>20</v>
      </c>
      <c r="Q116" s="142"/>
      <c r="R116" s="156"/>
      <c r="S116" s="141"/>
      <c r="T116" s="142"/>
      <c r="U116" s="142"/>
      <c r="V116" s="138"/>
    </row>
    <row r="117" spans="1:22" s="73" customFormat="1" ht="15.75" customHeight="1">
      <c r="A117" s="76">
        <v>1</v>
      </c>
      <c r="B117" s="61">
        <v>8</v>
      </c>
      <c r="C117" s="120" t="s">
        <v>45</v>
      </c>
      <c r="D117" s="120" t="s">
        <v>182</v>
      </c>
      <c r="E117" s="120" t="s">
        <v>358</v>
      </c>
      <c r="F117" s="121">
        <v>10</v>
      </c>
      <c r="G117" s="122" t="s">
        <v>68</v>
      </c>
      <c r="H117" s="120" t="s">
        <v>54</v>
      </c>
      <c r="I117" s="123" t="s">
        <v>398</v>
      </c>
      <c r="J117" s="124">
        <v>93589779</v>
      </c>
      <c r="K117" s="122" t="s">
        <v>19</v>
      </c>
      <c r="L117" s="121">
        <v>10</v>
      </c>
      <c r="M117" s="125" t="s">
        <v>23</v>
      </c>
      <c r="N117" s="126">
        <f>1*400</f>
        <v>400</v>
      </c>
      <c r="O117" s="126">
        <f t="shared" si="3"/>
        <v>800</v>
      </c>
      <c r="P117" s="174" t="s">
        <v>20</v>
      </c>
      <c r="Q117" s="129"/>
      <c r="R117" s="156"/>
      <c r="S117" s="141"/>
      <c r="T117" s="142"/>
      <c r="U117" s="142"/>
      <c r="V117" s="138"/>
    </row>
    <row r="118" spans="1:22" s="73" customFormat="1" ht="15.75" customHeight="1">
      <c r="A118" s="76">
        <v>1</v>
      </c>
      <c r="B118" s="61">
        <v>9</v>
      </c>
      <c r="C118" s="120" t="s">
        <v>45</v>
      </c>
      <c r="D118" s="120" t="s">
        <v>182</v>
      </c>
      <c r="E118" s="120" t="s">
        <v>130</v>
      </c>
      <c r="F118" s="121">
        <v>16</v>
      </c>
      <c r="G118" s="122" t="s">
        <v>16</v>
      </c>
      <c r="H118" s="120" t="s">
        <v>17</v>
      </c>
      <c r="I118" s="123" t="s">
        <v>296</v>
      </c>
      <c r="J118" s="124">
        <v>70906827</v>
      </c>
      <c r="K118" s="122" t="s">
        <v>18</v>
      </c>
      <c r="L118" s="121">
        <v>4</v>
      </c>
      <c r="M118" s="125" t="s">
        <v>23</v>
      </c>
      <c r="N118" s="126">
        <f>1*5500</f>
        <v>5500</v>
      </c>
      <c r="O118" s="126">
        <f t="shared" si="3"/>
        <v>11000</v>
      </c>
      <c r="P118" s="174" t="s">
        <v>20</v>
      </c>
      <c r="Q118" s="142"/>
      <c r="R118" s="156"/>
      <c r="S118" s="141"/>
      <c r="T118" s="142"/>
      <c r="U118" s="142"/>
      <c r="V118" s="138"/>
    </row>
    <row r="119" spans="1:22" s="73" customFormat="1" ht="15.75" customHeight="1">
      <c r="A119" s="76">
        <v>1</v>
      </c>
      <c r="B119" s="61">
        <v>10</v>
      </c>
      <c r="C119" s="120" t="s">
        <v>45</v>
      </c>
      <c r="D119" s="120" t="s">
        <v>182</v>
      </c>
      <c r="E119" s="120" t="s">
        <v>130</v>
      </c>
      <c r="F119" s="121">
        <v>3</v>
      </c>
      <c r="G119" s="122" t="s">
        <v>16</v>
      </c>
      <c r="H119" s="120" t="s">
        <v>17</v>
      </c>
      <c r="I119" s="123" t="s">
        <v>206</v>
      </c>
      <c r="J119" s="127" t="s">
        <v>382</v>
      </c>
      <c r="K119" s="122" t="s">
        <v>19</v>
      </c>
      <c r="L119" s="121">
        <v>8</v>
      </c>
      <c r="M119" s="125" t="s">
        <v>23</v>
      </c>
      <c r="N119" s="126">
        <f>1*750</f>
        <v>750</v>
      </c>
      <c r="O119" s="126">
        <f t="shared" si="3"/>
        <v>1500</v>
      </c>
      <c r="P119" s="174" t="s">
        <v>20</v>
      </c>
      <c r="Q119" s="142"/>
      <c r="R119" s="156"/>
      <c r="S119" s="141"/>
      <c r="T119" s="142"/>
      <c r="U119" s="142"/>
      <c r="V119" s="138"/>
    </row>
    <row r="120" spans="1:22" s="73" customFormat="1" ht="15.75" customHeight="1">
      <c r="A120" s="76">
        <v>1</v>
      </c>
      <c r="B120" s="61">
        <v>11</v>
      </c>
      <c r="C120" s="120" t="s">
        <v>45</v>
      </c>
      <c r="D120" s="120" t="s">
        <v>182</v>
      </c>
      <c r="E120" s="120" t="s">
        <v>38</v>
      </c>
      <c r="F120" s="121">
        <v>4</v>
      </c>
      <c r="G120" s="122" t="s">
        <v>39</v>
      </c>
      <c r="H120" s="120" t="s">
        <v>40</v>
      </c>
      <c r="I120" s="123" t="s">
        <v>171</v>
      </c>
      <c r="J120" s="124">
        <v>70751307</v>
      </c>
      <c r="K120" s="122" t="s">
        <v>50</v>
      </c>
      <c r="L120" s="121">
        <v>6</v>
      </c>
      <c r="M120" s="125" t="s">
        <v>23</v>
      </c>
      <c r="N120" s="126">
        <f>1*17000</f>
        <v>17000</v>
      </c>
      <c r="O120" s="126">
        <f t="shared" si="3"/>
        <v>34000</v>
      </c>
      <c r="P120" s="174" t="s">
        <v>20</v>
      </c>
      <c r="Q120" s="138"/>
      <c r="R120" s="156"/>
      <c r="S120" s="141"/>
      <c r="T120" s="142"/>
      <c r="U120" s="138"/>
      <c r="V120" s="138"/>
    </row>
    <row r="121" spans="1:22" s="73" customFormat="1" ht="15.75" customHeight="1">
      <c r="A121" s="76">
        <v>1</v>
      </c>
      <c r="B121" s="61">
        <v>12</v>
      </c>
      <c r="C121" s="120" t="s">
        <v>45</v>
      </c>
      <c r="D121" s="120" t="s">
        <v>305</v>
      </c>
      <c r="E121" s="120" t="s">
        <v>357</v>
      </c>
      <c r="F121" s="121">
        <v>11</v>
      </c>
      <c r="G121" s="122" t="s">
        <v>68</v>
      </c>
      <c r="H121" s="120" t="s">
        <v>69</v>
      </c>
      <c r="I121" s="123" t="s">
        <v>368</v>
      </c>
      <c r="J121" s="124">
        <v>93172054</v>
      </c>
      <c r="K121" s="122" t="s">
        <v>18</v>
      </c>
      <c r="L121" s="121">
        <v>20</v>
      </c>
      <c r="M121" s="125" t="s">
        <v>23</v>
      </c>
      <c r="N121" s="126">
        <f>1*6000</f>
        <v>6000</v>
      </c>
      <c r="O121" s="126">
        <f t="shared" si="3"/>
        <v>12000</v>
      </c>
      <c r="P121" s="174" t="s">
        <v>20</v>
      </c>
      <c r="Q121" s="138"/>
      <c r="R121" s="156"/>
      <c r="S121" s="141"/>
      <c r="T121" s="142"/>
      <c r="U121" s="138"/>
      <c r="V121" s="138"/>
    </row>
    <row r="122" spans="1:22" s="73" customFormat="1" ht="15.75" customHeight="1">
      <c r="A122" s="76">
        <v>1</v>
      </c>
      <c r="B122" s="61">
        <v>13</v>
      </c>
      <c r="C122" s="120" t="s">
        <v>45</v>
      </c>
      <c r="D122" s="120" t="s">
        <v>27</v>
      </c>
      <c r="E122" s="120" t="s">
        <v>118</v>
      </c>
      <c r="F122" s="121">
        <v>63</v>
      </c>
      <c r="G122" s="122" t="s">
        <v>16</v>
      </c>
      <c r="H122" s="120" t="s">
        <v>175</v>
      </c>
      <c r="I122" s="123" t="s">
        <v>30</v>
      </c>
      <c r="J122" s="127" t="s">
        <v>383</v>
      </c>
      <c r="K122" s="122" t="s">
        <v>19</v>
      </c>
      <c r="L122" s="121">
        <v>6</v>
      </c>
      <c r="M122" s="125" t="s">
        <v>23</v>
      </c>
      <c r="N122" s="126">
        <v>18000</v>
      </c>
      <c r="O122" s="126">
        <f t="shared" si="3"/>
        <v>36000</v>
      </c>
      <c r="P122" s="174" t="s">
        <v>20</v>
      </c>
      <c r="Q122" s="138"/>
      <c r="R122" s="156"/>
      <c r="S122" s="141"/>
      <c r="T122" s="142"/>
      <c r="U122" s="138"/>
      <c r="V122" s="138"/>
    </row>
    <row r="123" spans="1:22" s="73" customFormat="1" ht="15.75" customHeight="1">
      <c r="A123" s="76">
        <v>1</v>
      </c>
      <c r="B123" s="61">
        <v>14</v>
      </c>
      <c r="C123" s="120" t="s">
        <v>45</v>
      </c>
      <c r="D123" s="120" t="s">
        <v>349</v>
      </c>
      <c r="E123" s="120" t="s">
        <v>129</v>
      </c>
      <c r="F123" s="121">
        <v>2</v>
      </c>
      <c r="G123" s="122" t="s">
        <v>39</v>
      </c>
      <c r="H123" s="120" t="s">
        <v>40</v>
      </c>
      <c r="I123" s="123" t="s">
        <v>238</v>
      </c>
      <c r="J123" s="124">
        <v>93413679</v>
      </c>
      <c r="K123" s="122" t="s">
        <v>18</v>
      </c>
      <c r="L123" s="121">
        <v>19</v>
      </c>
      <c r="M123" s="125" t="s">
        <v>23</v>
      </c>
      <c r="N123" s="126">
        <f>1*10000</f>
        <v>10000</v>
      </c>
      <c r="O123" s="126">
        <f t="shared" si="3"/>
        <v>20000</v>
      </c>
      <c r="P123" s="174" t="s">
        <v>20</v>
      </c>
      <c r="Q123" s="138"/>
      <c r="R123" s="156"/>
      <c r="S123" s="141"/>
      <c r="T123" s="142"/>
      <c r="U123" s="138"/>
      <c r="V123" s="138"/>
    </row>
    <row r="124" spans="1:22" s="73" customFormat="1" ht="15.75" customHeight="1">
      <c r="A124" s="76">
        <v>1</v>
      </c>
      <c r="B124" s="61">
        <v>15</v>
      </c>
      <c r="C124" s="120" t="s">
        <v>45</v>
      </c>
      <c r="D124" s="120" t="s">
        <v>349</v>
      </c>
      <c r="E124" s="120" t="s">
        <v>359</v>
      </c>
      <c r="F124" s="121">
        <v>63</v>
      </c>
      <c r="G124" s="122" t="s">
        <v>28</v>
      </c>
      <c r="H124" s="120" t="s">
        <v>29</v>
      </c>
      <c r="I124" s="123" t="s">
        <v>422</v>
      </c>
      <c r="J124" s="124">
        <v>11780103</v>
      </c>
      <c r="K124" s="122" t="s">
        <v>18</v>
      </c>
      <c r="L124" s="121">
        <v>16</v>
      </c>
      <c r="M124" s="125" t="s">
        <v>23</v>
      </c>
      <c r="N124" s="126">
        <f>1*2000</f>
        <v>2000</v>
      </c>
      <c r="O124" s="126">
        <f t="shared" si="3"/>
        <v>4000</v>
      </c>
      <c r="P124" s="174" t="s">
        <v>20</v>
      </c>
      <c r="Q124" s="138"/>
      <c r="R124" s="156"/>
      <c r="S124" s="141"/>
      <c r="T124" s="142"/>
      <c r="U124" s="138"/>
      <c r="V124" s="138"/>
    </row>
    <row r="125" spans="1:22" ht="15.75" customHeight="1">
      <c r="A125" s="165"/>
      <c r="B125" s="35"/>
      <c r="C125" s="4"/>
      <c r="D125" s="4"/>
      <c r="E125" s="4"/>
      <c r="F125" s="18"/>
      <c r="G125" s="5"/>
      <c r="H125" s="4"/>
      <c r="I125" s="6"/>
      <c r="J125" s="45"/>
      <c r="K125" s="5"/>
      <c r="L125" s="50">
        <f>SUM(L110:L124)</f>
        <v>263</v>
      </c>
      <c r="M125" s="22" t="s">
        <v>14</v>
      </c>
      <c r="N125" s="24">
        <f>SUM(N110:N124)</f>
        <v>163250</v>
      </c>
      <c r="O125" s="24">
        <f>SUM(O110:O124)</f>
        <v>326500</v>
      </c>
      <c r="P125" s="33"/>
      <c r="Q125" s="156"/>
      <c r="R125" s="156"/>
      <c r="S125" s="156"/>
      <c r="T125" s="156"/>
      <c r="U125" s="135"/>
      <c r="V125" s="135"/>
    </row>
    <row r="126" spans="2:22" ht="15.75">
      <c r="B126" s="190" t="s">
        <v>322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2"/>
      <c r="Q126" s="135"/>
      <c r="R126" s="156"/>
      <c r="S126" s="156"/>
      <c r="T126" s="156"/>
      <c r="U126" s="135"/>
      <c r="V126" s="135"/>
    </row>
    <row r="127" spans="2:22" ht="15.75">
      <c r="B127" s="190" t="s">
        <v>307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2"/>
      <c r="Q127" s="135"/>
      <c r="R127" s="156"/>
      <c r="S127" s="156"/>
      <c r="T127" s="156"/>
      <c r="U127" s="135"/>
      <c r="V127" s="135"/>
    </row>
    <row r="128" spans="2:22" ht="15.75">
      <c r="B128" s="190" t="s">
        <v>309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2"/>
      <c r="Q128" s="135"/>
      <c r="R128" s="156"/>
      <c r="S128" s="156"/>
      <c r="T128" s="156"/>
      <c r="U128" s="135"/>
      <c r="V128" s="135"/>
    </row>
    <row r="129" spans="2:22" ht="63.75">
      <c r="B129" s="34" t="s">
        <v>1</v>
      </c>
      <c r="C129" s="9" t="s">
        <v>2</v>
      </c>
      <c r="D129" s="9" t="s">
        <v>3</v>
      </c>
      <c r="E129" s="10" t="s">
        <v>4</v>
      </c>
      <c r="F129" s="19" t="s">
        <v>5</v>
      </c>
      <c r="G129" s="8" t="s">
        <v>6</v>
      </c>
      <c r="H129" s="10" t="s">
        <v>7</v>
      </c>
      <c r="I129" s="11" t="s">
        <v>8</v>
      </c>
      <c r="J129" s="46" t="s">
        <v>9</v>
      </c>
      <c r="K129" s="8" t="s">
        <v>10</v>
      </c>
      <c r="L129" s="19" t="s">
        <v>11</v>
      </c>
      <c r="M129" s="12" t="s">
        <v>12</v>
      </c>
      <c r="N129" s="180" t="s">
        <v>441</v>
      </c>
      <c r="O129" s="180" t="s">
        <v>445</v>
      </c>
      <c r="P129" s="166" t="s">
        <v>13</v>
      </c>
      <c r="Q129" s="135"/>
      <c r="R129" s="156"/>
      <c r="S129" s="135"/>
      <c r="T129" s="135"/>
      <c r="U129" s="135"/>
      <c r="V129" s="135"/>
    </row>
    <row r="130" spans="1:22" s="73" customFormat="1" ht="15.75" customHeight="1">
      <c r="A130" s="70">
        <v>1</v>
      </c>
      <c r="B130" s="61">
        <v>1</v>
      </c>
      <c r="C130" s="86" t="s">
        <v>66</v>
      </c>
      <c r="D130" s="86" t="s">
        <v>70</v>
      </c>
      <c r="E130" s="86" t="s">
        <v>147</v>
      </c>
      <c r="F130" s="87">
        <v>16</v>
      </c>
      <c r="G130" s="88" t="s">
        <v>16</v>
      </c>
      <c r="H130" s="86" t="s">
        <v>17</v>
      </c>
      <c r="I130" s="89" t="s">
        <v>71</v>
      </c>
      <c r="J130" s="94" t="s">
        <v>218</v>
      </c>
      <c r="K130" s="88" t="s">
        <v>19</v>
      </c>
      <c r="L130" s="87">
        <v>6</v>
      </c>
      <c r="M130" s="91" t="s">
        <v>23</v>
      </c>
      <c r="N130" s="93">
        <f>1*1500</f>
        <v>1500</v>
      </c>
      <c r="O130" s="93">
        <f>$Q$1*N130</f>
        <v>3000</v>
      </c>
      <c r="P130" s="167" t="s">
        <v>20</v>
      </c>
      <c r="Q130" s="138"/>
      <c r="R130" s="156"/>
      <c r="S130" s="141"/>
      <c r="T130" s="138"/>
      <c r="U130" s="138"/>
      <c r="V130" s="138"/>
    </row>
    <row r="131" spans="1:22" s="73" customFormat="1" ht="15.75" customHeight="1">
      <c r="A131" s="70">
        <v>1</v>
      </c>
      <c r="B131" s="61">
        <v>2</v>
      </c>
      <c r="C131" s="86" t="s">
        <v>66</v>
      </c>
      <c r="D131" s="86" t="s">
        <v>70</v>
      </c>
      <c r="E131" s="86" t="s">
        <v>147</v>
      </c>
      <c r="F131" s="87">
        <v>16</v>
      </c>
      <c r="G131" s="88" t="s">
        <v>16</v>
      </c>
      <c r="H131" s="86" t="s">
        <v>17</v>
      </c>
      <c r="I131" s="89" t="s">
        <v>72</v>
      </c>
      <c r="J131" s="94" t="s">
        <v>217</v>
      </c>
      <c r="K131" s="88" t="s">
        <v>19</v>
      </c>
      <c r="L131" s="87">
        <v>36</v>
      </c>
      <c r="M131" s="91" t="s">
        <v>23</v>
      </c>
      <c r="N131" s="93">
        <f>1*89000</f>
        <v>89000</v>
      </c>
      <c r="O131" s="93">
        <f>$Q$1*N131</f>
        <v>178000</v>
      </c>
      <c r="P131" s="167" t="s">
        <v>20</v>
      </c>
      <c r="Q131" s="138"/>
      <c r="R131" s="156"/>
      <c r="S131" s="141"/>
      <c r="T131" s="138"/>
      <c r="U131" s="138"/>
      <c r="V131" s="138"/>
    </row>
    <row r="132" spans="1:22" s="73" customFormat="1" ht="15.75" customHeight="1">
      <c r="A132" s="70">
        <v>1</v>
      </c>
      <c r="B132" s="61">
        <v>3</v>
      </c>
      <c r="C132" s="86" t="s">
        <v>66</v>
      </c>
      <c r="D132" s="86" t="s">
        <v>67</v>
      </c>
      <c r="E132" s="86" t="s">
        <v>148</v>
      </c>
      <c r="F132" s="87">
        <v>20</v>
      </c>
      <c r="G132" s="88" t="s">
        <v>16</v>
      </c>
      <c r="H132" s="86" t="s">
        <v>17</v>
      </c>
      <c r="I132" s="89" t="s">
        <v>73</v>
      </c>
      <c r="J132" s="94" t="s">
        <v>74</v>
      </c>
      <c r="K132" s="88" t="s">
        <v>34</v>
      </c>
      <c r="L132" s="87">
        <v>110</v>
      </c>
      <c r="M132" s="91" t="s">
        <v>23</v>
      </c>
      <c r="N132" s="93">
        <f>1*281000</f>
        <v>281000</v>
      </c>
      <c r="O132" s="93">
        <f>$Q$1*N132</f>
        <v>562000</v>
      </c>
      <c r="P132" s="167" t="s">
        <v>20</v>
      </c>
      <c r="Q132" s="138"/>
      <c r="R132" s="156"/>
      <c r="S132" s="141"/>
      <c r="T132" s="138"/>
      <c r="U132" s="138"/>
      <c r="V132" s="138"/>
    </row>
    <row r="133" spans="1:22" s="73" customFormat="1" ht="15.75" customHeight="1">
      <c r="A133" s="70">
        <v>1</v>
      </c>
      <c r="B133" s="61">
        <v>4</v>
      </c>
      <c r="C133" s="86" t="s">
        <v>66</v>
      </c>
      <c r="D133" s="86" t="s">
        <v>70</v>
      </c>
      <c r="E133" s="86" t="s">
        <v>147</v>
      </c>
      <c r="F133" s="87">
        <v>16</v>
      </c>
      <c r="G133" s="88" t="s">
        <v>16</v>
      </c>
      <c r="H133" s="86" t="s">
        <v>17</v>
      </c>
      <c r="I133" s="89" t="s">
        <v>297</v>
      </c>
      <c r="J133" s="90" t="s">
        <v>379</v>
      </c>
      <c r="K133" s="88" t="s">
        <v>34</v>
      </c>
      <c r="L133" s="87">
        <v>106</v>
      </c>
      <c r="M133" s="91" t="s">
        <v>23</v>
      </c>
      <c r="N133" s="93">
        <f>1*138000</f>
        <v>138000</v>
      </c>
      <c r="O133" s="93">
        <f>$Q$1*N133</f>
        <v>276000</v>
      </c>
      <c r="P133" s="167" t="s">
        <v>20</v>
      </c>
      <c r="Q133" s="138"/>
      <c r="R133" s="156"/>
      <c r="S133" s="141"/>
      <c r="T133" s="138"/>
      <c r="U133" s="138"/>
      <c r="V133" s="138"/>
    </row>
    <row r="134" spans="1:22" s="73" customFormat="1" ht="15.75" customHeight="1">
      <c r="A134" s="70">
        <v>1</v>
      </c>
      <c r="B134" s="61">
        <v>5</v>
      </c>
      <c r="C134" s="86" t="s">
        <v>66</v>
      </c>
      <c r="D134" s="86" t="s">
        <v>292</v>
      </c>
      <c r="E134" s="86" t="s">
        <v>291</v>
      </c>
      <c r="F134" s="87"/>
      <c r="G134" s="88" t="s">
        <v>16</v>
      </c>
      <c r="H134" s="86" t="s">
        <v>17</v>
      </c>
      <c r="I134" s="89" t="s">
        <v>298</v>
      </c>
      <c r="J134" s="90" t="s">
        <v>378</v>
      </c>
      <c r="K134" s="88" t="s">
        <v>50</v>
      </c>
      <c r="L134" s="87">
        <v>34</v>
      </c>
      <c r="M134" s="91" t="s">
        <v>23</v>
      </c>
      <c r="N134" s="93">
        <f>1*33000</f>
        <v>33000</v>
      </c>
      <c r="O134" s="93">
        <f>$Q$1*N134</f>
        <v>66000</v>
      </c>
      <c r="P134" s="167" t="s">
        <v>20</v>
      </c>
      <c r="Q134" s="138"/>
      <c r="R134" s="156"/>
      <c r="S134" s="141"/>
      <c r="T134" s="138"/>
      <c r="U134" s="138"/>
      <c r="V134" s="138"/>
    </row>
    <row r="135" spans="2:22" ht="15.75" customHeight="1">
      <c r="B135" s="35"/>
      <c r="C135" s="4"/>
      <c r="D135" s="4"/>
      <c r="E135" s="4"/>
      <c r="F135" s="18"/>
      <c r="G135" s="5"/>
      <c r="H135" s="4"/>
      <c r="I135" s="6"/>
      <c r="J135" s="45"/>
      <c r="K135" s="5"/>
      <c r="L135" s="50">
        <f>SUM(L130:L134)</f>
        <v>292</v>
      </c>
      <c r="M135" s="22" t="s">
        <v>14</v>
      </c>
      <c r="N135" s="24">
        <f>SUM(N130:N134)</f>
        <v>542500</v>
      </c>
      <c r="O135" s="24">
        <f>SUM(O130:O134)</f>
        <v>1085000</v>
      </c>
      <c r="P135" s="33"/>
      <c r="Q135" s="156"/>
      <c r="R135" s="156"/>
      <c r="S135" s="135"/>
      <c r="T135" s="135"/>
      <c r="U135" s="135"/>
      <c r="V135" s="135"/>
    </row>
    <row r="136" spans="2:22" ht="15.75" customHeight="1">
      <c r="B136" s="190" t="s">
        <v>323</v>
      </c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2"/>
      <c r="Q136" s="135"/>
      <c r="R136" s="156"/>
      <c r="S136" s="135"/>
      <c r="T136" s="135"/>
      <c r="U136" s="135"/>
      <c r="V136" s="135"/>
    </row>
    <row r="137" spans="2:22" ht="15.75">
      <c r="B137" s="190" t="s">
        <v>307</v>
      </c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2"/>
      <c r="Q137" s="135"/>
      <c r="R137" s="156"/>
      <c r="S137" s="135"/>
      <c r="T137" s="135"/>
      <c r="U137" s="135"/>
      <c r="V137" s="135"/>
    </row>
    <row r="138" spans="2:22" ht="15.75">
      <c r="B138" s="190" t="s">
        <v>310</v>
      </c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2"/>
      <c r="Q138" s="135"/>
      <c r="R138" s="156"/>
      <c r="S138" s="135"/>
      <c r="T138" s="135"/>
      <c r="U138" s="135"/>
      <c r="V138" s="135"/>
    </row>
    <row r="139" spans="2:22" ht="63.75">
      <c r="B139" s="34" t="s">
        <v>1</v>
      </c>
      <c r="C139" s="9" t="s">
        <v>2</v>
      </c>
      <c r="D139" s="9" t="s">
        <v>3</v>
      </c>
      <c r="E139" s="10" t="s">
        <v>4</v>
      </c>
      <c r="F139" s="19" t="s">
        <v>5</v>
      </c>
      <c r="G139" s="8" t="s">
        <v>6</v>
      </c>
      <c r="H139" s="10" t="s">
        <v>7</v>
      </c>
      <c r="I139" s="11" t="s">
        <v>8</v>
      </c>
      <c r="J139" s="46" t="s">
        <v>9</v>
      </c>
      <c r="K139" s="8" t="s">
        <v>10</v>
      </c>
      <c r="L139" s="19" t="s">
        <v>11</v>
      </c>
      <c r="M139" s="12" t="s">
        <v>12</v>
      </c>
      <c r="N139" s="180" t="s">
        <v>441</v>
      </c>
      <c r="O139" s="180" t="s">
        <v>445</v>
      </c>
      <c r="P139" s="166" t="s">
        <v>13</v>
      </c>
      <c r="Q139" s="135"/>
      <c r="R139" s="156"/>
      <c r="S139" s="135"/>
      <c r="T139" s="135"/>
      <c r="U139" s="135"/>
      <c r="V139" s="135"/>
    </row>
    <row r="140" spans="1:22" s="73" customFormat="1" ht="15.75" customHeight="1">
      <c r="A140" s="70">
        <v>1</v>
      </c>
      <c r="B140" s="61">
        <v>1</v>
      </c>
      <c r="C140" s="86" t="s">
        <v>75</v>
      </c>
      <c r="D140" s="86" t="s">
        <v>446</v>
      </c>
      <c r="E140" s="86" t="s">
        <v>134</v>
      </c>
      <c r="F140" s="87">
        <v>4</v>
      </c>
      <c r="G140" s="88" t="s">
        <v>16</v>
      </c>
      <c r="H140" s="86" t="s">
        <v>17</v>
      </c>
      <c r="I140" s="89" t="s">
        <v>76</v>
      </c>
      <c r="J140" s="94">
        <v>90642533</v>
      </c>
      <c r="K140" s="88" t="s">
        <v>19</v>
      </c>
      <c r="L140" s="87">
        <v>15</v>
      </c>
      <c r="M140" s="91" t="s">
        <v>23</v>
      </c>
      <c r="N140" s="93">
        <f>1*18000</f>
        <v>18000</v>
      </c>
      <c r="O140" s="93">
        <f>$Q$1*N140</f>
        <v>36000</v>
      </c>
      <c r="P140" s="167" t="s">
        <v>20</v>
      </c>
      <c r="Q140" s="138"/>
      <c r="R140" s="156"/>
      <c r="S140" s="141"/>
      <c r="T140" s="138"/>
      <c r="U140" s="138"/>
      <c r="V140" s="138"/>
    </row>
    <row r="141" spans="2:22" ht="15.75" customHeight="1">
      <c r="B141" s="35"/>
      <c r="C141" s="4"/>
      <c r="D141" s="4"/>
      <c r="E141" s="4"/>
      <c r="F141" s="18"/>
      <c r="G141" s="5"/>
      <c r="H141" s="4"/>
      <c r="I141" s="6"/>
      <c r="J141" s="45"/>
      <c r="K141" s="5"/>
      <c r="L141" s="50">
        <f>SUM(L140:L140)</f>
        <v>15</v>
      </c>
      <c r="M141" s="22" t="s">
        <v>14</v>
      </c>
      <c r="N141" s="24">
        <f>SUM(N140:N140)</f>
        <v>18000</v>
      </c>
      <c r="O141" s="24">
        <f>O140</f>
        <v>36000</v>
      </c>
      <c r="P141" s="33"/>
      <c r="Q141" s="156"/>
      <c r="R141" s="156"/>
      <c r="S141" s="135"/>
      <c r="T141" s="135"/>
      <c r="U141" s="135"/>
      <c r="V141" s="135"/>
    </row>
    <row r="142" spans="2:22" ht="15.75">
      <c r="B142" s="190" t="s">
        <v>324</v>
      </c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2"/>
      <c r="Q142" s="135"/>
      <c r="R142" s="156"/>
      <c r="S142" s="135"/>
      <c r="T142" s="135"/>
      <c r="U142" s="135"/>
      <c r="V142" s="135"/>
    </row>
    <row r="143" spans="2:22" ht="15.75">
      <c r="B143" s="190" t="s">
        <v>307</v>
      </c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2"/>
      <c r="Q143" s="135"/>
      <c r="R143" s="156"/>
      <c r="S143" s="135"/>
      <c r="T143" s="135"/>
      <c r="U143" s="135"/>
      <c r="V143" s="135"/>
    </row>
    <row r="144" spans="2:22" ht="15.75">
      <c r="B144" s="190" t="s">
        <v>432</v>
      </c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2"/>
      <c r="Q144" s="135"/>
      <c r="R144" s="156"/>
      <c r="S144" s="135"/>
      <c r="T144" s="135"/>
      <c r="U144" s="135"/>
      <c r="V144" s="135"/>
    </row>
    <row r="145" spans="2:22" ht="63.75">
      <c r="B145" s="34" t="s">
        <v>1</v>
      </c>
      <c r="C145" s="9" t="s">
        <v>2</v>
      </c>
      <c r="D145" s="9" t="s">
        <v>3</v>
      </c>
      <c r="E145" s="10" t="s">
        <v>4</v>
      </c>
      <c r="F145" s="19" t="s">
        <v>5</v>
      </c>
      <c r="G145" s="8" t="s">
        <v>6</v>
      </c>
      <c r="H145" s="10" t="s">
        <v>7</v>
      </c>
      <c r="I145" s="11" t="s">
        <v>8</v>
      </c>
      <c r="J145" s="46" t="s">
        <v>9</v>
      </c>
      <c r="K145" s="8" t="s">
        <v>10</v>
      </c>
      <c r="L145" s="19" t="s">
        <v>11</v>
      </c>
      <c r="M145" s="12" t="s">
        <v>12</v>
      </c>
      <c r="N145" s="180" t="s">
        <v>441</v>
      </c>
      <c r="O145" s="180" t="s">
        <v>445</v>
      </c>
      <c r="P145" s="166" t="s">
        <v>13</v>
      </c>
      <c r="Q145" s="135"/>
      <c r="R145" s="156"/>
      <c r="S145" s="135"/>
      <c r="T145" s="135"/>
      <c r="U145" s="135"/>
      <c r="V145" s="135"/>
    </row>
    <row r="146" spans="1:22" s="73" customFormat="1" ht="15.75" customHeight="1">
      <c r="A146" s="70">
        <v>1</v>
      </c>
      <c r="B146" s="61">
        <v>1</v>
      </c>
      <c r="C146" s="86" t="s">
        <v>80</v>
      </c>
      <c r="D146" s="86" t="s">
        <v>446</v>
      </c>
      <c r="E146" s="86" t="s">
        <v>150</v>
      </c>
      <c r="F146" s="87">
        <v>25</v>
      </c>
      <c r="G146" s="88" t="s">
        <v>47</v>
      </c>
      <c r="H146" s="86" t="s">
        <v>17</v>
      </c>
      <c r="I146" s="89" t="s">
        <v>81</v>
      </c>
      <c r="J146" s="94">
        <v>90300168</v>
      </c>
      <c r="K146" s="88" t="s">
        <v>19</v>
      </c>
      <c r="L146" s="87">
        <v>13</v>
      </c>
      <c r="M146" s="91" t="s">
        <v>23</v>
      </c>
      <c r="N146" s="93">
        <f>1*12500</f>
        <v>12500</v>
      </c>
      <c r="O146" s="93">
        <f>$Q$1*N146</f>
        <v>25000</v>
      </c>
      <c r="P146" s="167" t="s">
        <v>20</v>
      </c>
      <c r="Q146" s="138"/>
      <c r="R146" s="156"/>
      <c r="S146" s="138"/>
      <c r="T146" s="138"/>
      <c r="U146" s="138"/>
      <c r="V146" s="138"/>
    </row>
    <row r="147" spans="2:22" ht="15.75" customHeight="1">
      <c r="B147" s="35"/>
      <c r="C147" s="4"/>
      <c r="D147" s="4"/>
      <c r="E147" s="4"/>
      <c r="F147" s="18"/>
      <c r="G147" s="5"/>
      <c r="H147" s="4"/>
      <c r="I147" s="6"/>
      <c r="J147" s="45"/>
      <c r="K147" s="5"/>
      <c r="L147" s="50">
        <f>SUM(L145:L146)</f>
        <v>13</v>
      </c>
      <c r="M147" s="22" t="s">
        <v>14</v>
      </c>
      <c r="N147" s="24">
        <f>N146</f>
        <v>12500</v>
      </c>
      <c r="O147" s="24">
        <f>O146</f>
        <v>25000</v>
      </c>
      <c r="P147" s="33"/>
      <c r="Q147" s="156"/>
      <c r="R147" s="156"/>
      <c r="S147" s="135"/>
      <c r="T147" s="135"/>
      <c r="U147" s="135"/>
      <c r="V147" s="135"/>
    </row>
    <row r="148" spans="2:22" ht="15.75">
      <c r="B148" s="190" t="s">
        <v>325</v>
      </c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2"/>
      <c r="Q148" s="135"/>
      <c r="R148" s="156"/>
      <c r="S148" s="135"/>
      <c r="T148" s="135"/>
      <c r="U148" s="135"/>
      <c r="V148" s="135"/>
    </row>
    <row r="149" spans="2:22" ht="15.75">
      <c r="B149" s="190" t="s">
        <v>307</v>
      </c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2"/>
      <c r="Q149" s="135"/>
      <c r="R149" s="156"/>
      <c r="S149" s="135"/>
      <c r="T149" s="135"/>
      <c r="U149" s="135"/>
      <c r="V149" s="135"/>
    </row>
    <row r="150" spans="2:22" ht="15.75">
      <c r="B150" s="190" t="s">
        <v>433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2"/>
      <c r="Q150" s="135"/>
      <c r="R150" s="156"/>
      <c r="S150" s="135"/>
      <c r="T150" s="135"/>
      <c r="U150" s="135"/>
      <c r="V150" s="135"/>
    </row>
    <row r="151" spans="2:22" ht="63.75">
      <c r="B151" s="34" t="s">
        <v>1</v>
      </c>
      <c r="C151" s="9" t="s">
        <v>2</v>
      </c>
      <c r="D151" s="9" t="s">
        <v>3</v>
      </c>
      <c r="E151" s="10" t="s">
        <v>4</v>
      </c>
      <c r="F151" s="19" t="s">
        <v>5</v>
      </c>
      <c r="G151" s="8" t="s">
        <v>6</v>
      </c>
      <c r="H151" s="10" t="s">
        <v>7</v>
      </c>
      <c r="I151" s="11" t="s">
        <v>8</v>
      </c>
      <c r="J151" s="46" t="s">
        <v>9</v>
      </c>
      <c r="K151" s="8" t="s">
        <v>10</v>
      </c>
      <c r="L151" s="19" t="s">
        <v>11</v>
      </c>
      <c r="M151" s="12" t="s">
        <v>12</v>
      </c>
      <c r="N151" s="180" t="s">
        <v>441</v>
      </c>
      <c r="O151" s="180" t="s">
        <v>445</v>
      </c>
      <c r="P151" s="166" t="s">
        <v>13</v>
      </c>
      <c r="Q151" s="135"/>
      <c r="R151" s="156"/>
      <c r="S151" s="135"/>
      <c r="T151" s="135"/>
      <c r="U151" s="135"/>
      <c r="V151" s="135"/>
    </row>
    <row r="152" spans="1:22" s="73" customFormat="1" ht="15.75" customHeight="1">
      <c r="A152" s="70">
        <v>1</v>
      </c>
      <c r="B152" s="61">
        <v>1</v>
      </c>
      <c r="C152" s="86" t="s">
        <v>82</v>
      </c>
      <c r="D152" s="86" t="s">
        <v>446</v>
      </c>
      <c r="E152" s="86" t="s">
        <v>151</v>
      </c>
      <c r="F152" s="87">
        <v>4</v>
      </c>
      <c r="G152" s="88" t="s">
        <v>46</v>
      </c>
      <c r="H152" s="86" t="s">
        <v>17</v>
      </c>
      <c r="I152" s="89" t="s">
        <v>83</v>
      </c>
      <c r="J152" s="94">
        <v>93268732</v>
      </c>
      <c r="K152" s="88" t="s">
        <v>19</v>
      </c>
      <c r="L152" s="87">
        <v>15</v>
      </c>
      <c r="M152" s="91" t="s">
        <v>23</v>
      </c>
      <c r="N152" s="93">
        <f>1*14000</f>
        <v>14000</v>
      </c>
      <c r="O152" s="93">
        <f>$Q$1*N152</f>
        <v>28000</v>
      </c>
      <c r="P152" s="167" t="s">
        <v>20</v>
      </c>
      <c r="Q152" s="138"/>
      <c r="R152" s="156"/>
      <c r="S152" s="138"/>
      <c r="T152" s="138"/>
      <c r="U152" s="138"/>
      <c r="V152" s="138"/>
    </row>
    <row r="153" spans="2:22" ht="12.75">
      <c r="B153" s="35"/>
      <c r="C153" s="4"/>
      <c r="D153" s="4"/>
      <c r="E153" s="4"/>
      <c r="F153" s="18"/>
      <c r="G153" s="5"/>
      <c r="H153" s="4"/>
      <c r="I153" s="6"/>
      <c r="J153" s="45"/>
      <c r="K153" s="5"/>
      <c r="L153" s="50">
        <f>SUM(L151:L152)</f>
        <v>15</v>
      </c>
      <c r="M153" s="22" t="s">
        <v>14</v>
      </c>
      <c r="N153" s="24">
        <f>N152</f>
        <v>14000</v>
      </c>
      <c r="O153" s="24">
        <f>O152</f>
        <v>28000</v>
      </c>
      <c r="P153" s="33"/>
      <c r="Q153" s="156"/>
      <c r="R153" s="156"/>
      <c r="S153" s="135"/>
      <c r="T153" s="135"/>
      <c r="U153" s="135"/>
      <c r="V153" s="135"/>
    </row>
    <row r="154" spans="2:22" ht="15.75">
      <c r="B154" s="190" t="s">
        <v>326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2"/>
      <c r="Q154" s="135"/>
      <c r="R154" s="156"/>
      <c r="S154" s="135"/>
      <c r="T154" s="135"/>
      <c r="U154" s="135"/>
      <c r="V154" s="135"/>
    </row>
    <row r="155" spans="2:22" ht="15.75">
      <c r="B155" s="190" t="s">
        <v>307</v>
      </c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2"/>
      <c r="Q155" s="135"/>
      <c r="R155" s="156"/>
      <c r="S155" s="135"/>
      <c r="T155" s="135"/>
      <c r="U155" s="135"/>
      <c r="V155" s="135"/>
    </row>
    <row r="156" spans="2:22" ht="15.75">
      <c r="B156" s="190" t="s">
        <v>311</v>
      </c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2"/>
      <c r="Q156" s="135"/>
      <c r="R156" s="156"/>
      <c r="S156" s="135"/>
      <c r="T156" s="135"/>
      <c r="U156" s="135"/>
      <c r="V156" s="135"/>
    </row>
    <row r="157" spans="2:22" ht="63.75">
      <c r="B157" s="34" t="s">
        <v>1</v>
      </c>
      <c r="C157" s="9" t="s">
        <v>2</v>
      </c>
      <c r="D157" s="9" t="s">
        <v>3</v>
      </c>
      <c r="E157" s="10" t="s">
        <v>4</v>
      </c>
      <c r="F157" s="19" t="s">
        <v>5</v>
      </c>
      <c r="G157" s="8" t="s">
        <v>6</v>
      </c>
      <c r="H157" s="10" t="s">
        <v>7</v>
      </c>
      <c r="I157" s="11" t="s">
        <v>8</v>
      </c>
      <c r="J157" s="46" t="s">
        <v>9</v>
      </c>
      <c r="K157" s="8" t="s">
        <v>10</v>
      </c>
      <c r="L157" s="19" t="s">
        <v>11</v>
      </c>
      <c r="M157" s="12" t="s">
        <v>12</v>
      </c>
      <c r="N157" s="180" t="s">
        <v>441</v>
      </c>
      <c r="O157" s="180" t="s">
        <v>445</v>
      </c>
      <c r="P157" s="166" t="s">
        <v>13</v>
      </c>
      <c r="Q157" s="135"/>
      <c r="R157" s="156"/>
      <c r="S157" s="135"/>
      <c r="T157" s="135"/>
      <c r="U157" s="135"/>
      <c r="V157" s="135"/>
    </row>
    <row r="158" spans="1:22" s="129" customFormat="1" ht="15.75" customHeight="1">
      <c r="A158" s="70">
        <v>1</v>
      </c>
      <c r="B158" s="128">
        <v>1</v>
      </c>
      <c r="C158" s="86" t="s">
        <v>84</v>
      </c>
      <c r="D158" s="86" t="s">
        <v>446</v>
      </c>
      <c r="E158" s="86" t="s">
        <v>85</v>
      </c>
      <c r="F158" s="87">
        <v>13</v>
      </c>
      <c r="G158" s="88" t="s">
        <v>16</v>
      </c>
      <c r="H158" s="86" t="s">
        <v>17</v>
      </c>
      <c r="I158" s="89" t="s">
        <v>283</v>
      </c>
      <c r="J158" s="90" t="s">
        <v>385</v>
      </c>
      <c r="K158" s="88" t="s">
        <v>18</v>
      </c>
      <c r="L158" s="87">
        <v>6</v>
      </c>
      <c r="M158" s="91" t="s">
        <v>23</v>
      </c>
      <c r="N158" s="93">
        <f>1*30000</f>
        <v>30000</v>
      </c>
      <c r="O158" s="93">
        <f>$Q$1*N158</f>
        <v>60000</v>
      </c>
      <c r="P158" s="175" t="s">
        <v>20</v>
      </c>
      <c r="Q158" s="142"/>
      <c r="R158" s="156"/>
      <c r="S158" s="142"/>
      <c r="T158" s="142"/>
      <c r="U158" s="142"/>
      <c r="V158" s="142"/>
    </row>
    <row r="159" spans="2:22" ht="15.75" customHeight="1">
      <c r="B159" s="35"/>
      <c r="C159" s="4"/>
      <c r="D159" s="4"/>
      <c r="E159" s="4"/>
      <c r="F159" s="18"/>
      <c r="G159" s="5"/>
      <c r="H159" s="4"/>
      <c r="I159" s="6"/>
      <c r="J159" s="45"/>
      <c r="K159" s="5"/>
      <c r="L159" s="50">
        <f>SUM(L158:L158)</f>
        <v>6</v>
      </c>
      <c r="M159" s="22" t="s">
        <v>14</v>
      </c>
      <c r="N159" s="24">
        <f>SUM(N158:N158)</f>
        <v>30000</v>
      </c>
      <c r="O159" s="24">
        <f>SUM(O158:O158)</f>
        <v>60000</v>
      </c>
      <c r="P159" s="33"/>
      <c r="Q159" s="156"/>
      <c r="R159" s="156"/>
      <c r="S159" s="135"/>
      <c r="T159" s="135"/>
      <c r="U159" s="135"/>
      <c r="V159" s="135"/>
    </row>
    <row r="160" spans="2:22" ht="15.75">
      <c r="B160" s="190" t="s">
        <v>327</v>
      </c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2"/>
      <c r="Q160" s="135"/>
      <c r="R160" s="156"/>
      <c r="S160" s="135"/>
      <c r="T160" s="135"/>
      <c r="U160" s="135"/>
      <c r="V160" s="135"/>
    </row>
    <row r="161" spans="2:22" ht="15.75">
      <c r="B161" s="190" t="s">
        <v>307</v>
      </c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2"/>
      <c r="Q161" s="135"/>
      <c r="R161" s="156"/>
      <c r="S161" s="135"/>
      <c r="T161" s="135"/>
      <c r="U161" s="135"/>
      <c r="V161" s="135"/>
    </row>
    <row r="162" spans="2:22" ht="15.75">
      <c r="B162" s="190" t="s">
        <v>308</v>
      </c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2"/>
      <c r="Q162" s="135"/>
      <c r="R162" s="156"/>
      <c r="S162" s="135"/>
      <c r="T162" s="135"/>
      <c r="U162" s="135"/>
      <c r="V162" s="135"/>
    </row>
    <row r="163" spans="2:22" ht="63.75">
      <c r="B163" s="34" t="s">
        <v>1</v>
      </c>
      <c r="C163" s="9" t="s">
        <v>2</v>
      </c>
      <c r="D163" s="9" t="s">
        <v>3</v>
      </c>
      <c r="E163" s="10" t="s">
        <v>4</v>
      </c>
      <c r="F163" s="19" t="s">
        <v>5</v>
      </c>
      <c r="G163" s="8" t="s">
        <v>6</v>
      </c>
      <c r="H163" s="10" t="s">
        <v>7</v>
      </c>
      <c r="I163" s="11" t="s">
        <v>8</v>
      </c>
      <c r="J163" s="46" t="s">
        <v>9</v>
      </c>
      <c r="K163" s="8" t="s">
        <v>10</v>
      </c>
      <c r="L163" s="19" t="s">
        <v>11</v>
      </c>
      <c r="M163" s="12" t="s">
        <v>12</v>
      </c>
      <c r="N163" s="180" t="s">
        <v>441</v>
      </c>
      <c r="O163" s="180" t="s">
        <v>445</v>
      </c>
      <c r="P163" s="166" t="s">
        <v>13</v>
      </c>
      <c r="Q163" s="135"/>
      <c r="R163" s="156"/>
      <c r="S163" s="135"/>
      <c r="T163" s="135"/>
      <c r="U163" s="135"/>
      <c r="V163" s="135"/>
    </row>
    <row r="164" spans="1:22" s="73" customFormat="1" ht="15.75" customHeight="1">
      <c r="A164" s="70">
        <v>1</v>
      </c>
      <c r="B164" s="61">
        <v>1</v>
      </c>
      <c r="C164" s="86" t="s">
        <v>411</v>
      </c>
      <c r="D164" s="86" t="s">
        <v>446</v>
      </c>
      <c r="E164" s="86" t="s">
        <v>25</v>
      </c>
      <c r="F164" s="87">
        <v>18</v>
      </c>
      <c r="G164" s="88" t="s">
        <v>16</v>
      </c>
      <c r="H164" s="86" t="s">
        <v>17</v>
      </c>
      <c r="I164" s="89" t="s">
        <v>86</v>
      </c>
      <c r="J164" s="90" t="s">
        <v>397</v>
      </c>
      <c r="K164" s="88" t="s">
        <v>19</v>
      </c>
      <c r="L164" s="87">
        <v>35</v>
      </c>
      <c r="M164" s="91" t="s">
        <v>23</v>
      </c>
      <c r="N164" s="93">
        <f>1*46500</f>
        <v>46500</v>
      </c>
      <c r="O164" s="93">
        <f>$Q$1*N164</f>
        <v>93000</v>
      </c>
      <c r="P164" s="167" t="s">
        <v>20</v>
      </c>
      <c r="Q164" s="138"/>
      <c r="R164" s="156"/>
      <c r="S164" s="138"/>
      <c r="T164" s="138"/>
      <c r="U164" s="138"/>
      <c r="V164" s="138"/>
    </row>
    <row r="165" spans="2:22" ht="15.75" customHeight="1">
      <c r="B165" s="35"/>
      <c r="C165" s="4"/>
      <c r="D165" s="4"/>
      <c r="E165" s="4"/>
      <c r="F165" s="18"/>
      <c r="G165" s="5"/>
      <c r="H165" s="4"/>
      <c r="I165" s="6"/>
      <c r="J165" s="45"/>
      <c r="K165" s="5"/>
      <c r="L165" s="50">
        <f>SUM(L163:L164)</f>
        <v>35</v>
      </c>
      <c r="M165" s="22" t="s">
        <v>14</v>
      </c>
      <c r="N165" s="24">
        <f>N164</f>
        <v>46500</v>
      </c>
      <c r="O165" s="24">
        <f>O164</f>
        <v>93000</v>
      </c>
      <c r="P165" s="33"/>
      <c r="Q165" s="156"/>
      <c r="R165" s="156"/>
      <c r="S165" s="135"/>
      <c r="T165" s="135"/>
      <c r="U165" s="135"/>
      <c r="V165" s="135"/>
    </row>
    <row r="166" spans="2:22" ht="15.75">
      <c r="B166" s="190" t="s">
        <v>328</v>
      </c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2"/>
      <c r="Q166" s="135"/>
      <c r="R166" s="156"/>
      <c r="S166" s="135"/>
      <c r="T166" s="135"/>
      <c r="U166" s="135"/>
      <c r="V166" s="135"/>
    </row>
    <row r="167" spans="2:22" ht="15.75">
      <c r="B167" s="190" t="s">
        <v>307</v>
      </c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2"/>
      <c r="Q167" s="135"/>
      <c r="R167" s="156"/>
      <c r="S167" s="135"/>
      <c r="T167" s="135"/>
      <c r="U167" s="135"/>
      <c r="V167" s="135"/>
    </row>
    <row r="168" spans="2:22" ht="15.75">
      <c r="B168" s="190" t="s">
        <v>312</v>
      </c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2"/>
      <c r="Q168" s="135"/>
      <c r="R168" s="156"/>
      <c r="S168" s="135"/>
      <c r="T168" s="135"/>
      <c r="U168" s="135"/>
      <c r="V168" s="135"/>
    </row>
    <row r="169" spans="2:22" ht="63.75">
      <c r="B169" s="34" t="s">
        <v>1</v>
      </c>
      <c r="C169" s="9" t="s">
        <v>2</v>
      </c>
      <c r="D169" s="9" t="s">
        <v>3</v>
      </c>
      <c r="E169" s="10" t="s">
        <v>4</v>
      </c>
      <c r="F169" s="19" t="s">
        <v>5</v>
      </c>
      <c r="G169" s="8" t="s">
        <v>6</v>
      </c>
      <c r="H169" s="10" t="s">
        <v>7</v>
      </c>
      <c r="I169" s="11" t="s">
        <v>8</v>
      </c>
      <c r="J169" s="46" t="s">
        <v>9</v>
      </c>
      <c r="K169" s="8" t="s">
        <v>10</v>
      </c>
      <c r="L169" s="19" t="s">
        <v>11</v>
      </c>
      <c r="M169" s="12" t="s">
        <v>12</v>
      </c>
      <c r="N169" s="180" t="s">
        <v>441</v>
      </c>
      <c r="O169" s="180" t="s">
        <v>445</v>
      </c>
      <c r="P169" s="166" t="s">
        <v>13</v>
      </c>
      <c r="Q169" s="135"/>
      <c r="R169" s="156"/>
      <c r="S169" s="135"/>
      <c r="T169" s="135"/>
      <c r="U169" s="135"/>
      <c r="V169" s="135"/>
    </row>
    <row r="170" spans="1:22" s="73" customFormat="1" ht="15.75" customHeight="1">
      <c r="A170" s="70">
        <v>1</v>
      </c>
      <c r="B170" s="61">
        <v>1</v>
      </c>
      <c r="C170" s="86" t="s">
        <v>87</v>
      </c>
      <c r="D170" s="86" t="s">
        <v>446</v>
      </c>
      <c r="E170" s="86" t="s">
        <v>152</v>
      </c>
      <c r="F170" s="87">
        <v>8</v>
      </c>
      <c r="G170" s="88" t="s">
        <v>68</v>
      </c>
      <c r="H170" s="86" t="s">
        <v>54</v>
      </c>
      <c r="I170" s="89" t="s">
        <v>88</v>
      </c>
      <c r="J170" s="94">
        <v>91283048</v>
      </c>
      <c r="K170" s="88" t="s">
        <v>19</v>
      </c>
      <c r="L170" s="87">
        <v>33</v>
      </c>
      <c r="M170" s="91" t="s">
        <v>23</v>
      </c>
      <c r="N170" s="93">
        <f>1*45500</f>
        <v>45500</v>
      </c>
      <c r="O170" s="93">
        <f>$Q$1*N170</f>
        <v>91000</v>
      </c>
      <c r="P170" s="167" t="s">
        <v>20</v>
      </c>
      <c r="Q170" s="138"/>
      <c r="R170" s="156"/>
      <c r="S170" s="138"/>
      <c r="T170" s="138"/>
      <c r="U170" s="138"/>
      <c r="V170" s="138"/>
    </row>
    <row r="171" spans="2:22" ht="15.75" customHeight="1">
      <c r="B171" s="35"/>
      <c r="C171" s="4"/>
      <c r="D171" s="4"/>
      <c r="E171" s="4"/>
      <c r="F171" s="18"/>
      <c r="G171" s="5"/>
      <c r="H171" s="4"/>
      <c r="I171" s="6"/>
      <c r="J171" s="45"/>
      <c r="K171" s="5"/>
      <c r="L171" s="50">
        <f>SUM(L169:L170)</f>
        <v>33</v>
      </c>
      <c r="M171" s="22" t="s">
        <v>14</v>
      </c>
      <c r="N171" s="24">
        <f>N170</f>
        <v>45500</v>
      </c>
      <c r="O171" s="24">
        <f>O170</f>
        <v>91000</v>
      </c>
      <c r="P171" s="33"/>
      <c r="Q171" s="156"/>
      <c r="R171" s="156"/>
      <c r="S171" s="135"/>
      <c r="T171" s="135"/>
      <c r="U171" s="135"/>
      <c r="V171" s="135"/>
    </row>
    <row r="172" spans="2:22" ht="15.75">
      <c r="B172" s="190" t="s">
        <v>329</v>
      </c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2"/>
      <c r="Q172" s="135"/>
      <c r="R172" s="156"/>
      <c r="S172" s="135"/>
      <c r="T172" s="135"/>
      <c r="U172" s="135"/>
      <c r="V172" s="135"/>
    </row>
    <row r="173" spans="2:22" ht="15.75">
      <c r="B173" s="190" t="s">
        <v>307</v>
      </c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2"/>
      <c r="Q173" s="135"/>
      <c r="R173" s="156"/>
      <c r="S173" s="135"/>
      <c r="T173" s="135"/>
      <c r="U173" s="135"/>
      <c r="V173" s="135"/>
    </row>
    <row r="174" spans="2:22" ht="15.75">
      <c r="B174" s="190" t="s">
        <v>434</v>
      </c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2"/>
      <c r="Q174" s="135"/>
      <c r="R174" s="156"/>
      <c r="S174" s="135"/>
      <c r="T174" s="135"/>
      <c r="U174" s="135"/>
      <c r="V174" s="135"/>
    </row>
    <row r="175" spans="2:22" ht="63.75">
      <c r="B175" s="34" t="s">
        <v>1</v>
      </c>
      <c r="C175" s="9" t="s">
        <v>2</v>
      </c>
      <c r="D175" s="9" t="s">
        <v>3</v>
      </c>
      <c r="E175" s="10" t="s">
        <v>4</v>
      </c>
      <c r="F175" s="19" t="s">
        <v>5</v>
      </c>
      <c r="G175" s="8" t="s">
        <v>6</v>
      </c>
      <c r="H175" s="10" t="s">
        <v>7</v>
      </c>
      <c r="I175" s="11" t="s">
        <v>8</v>
      </c>
      <c r="J175" s="46" t="s">
        <v>9</v>
      </c>
      <c r="K175" s="8" t="s">
        <v>10</v>
      </c>
      <c r="L175" s="19" t="s">
        <v>11</v>
      </c>
      <c r="M175" s="12" t="s">
        <v>12</v>
      </c>
      <c r="N175" s="180" t="s">
        <v>441</v>
      </c>
      <c r="O175" s="180" t="s">
        <v>445</v>
      </c>
      <c r="P175" s="166" t="s">
        <v>13</v>
      </c>
      <c r="Q175" s="135"/>
      <c r="R175" s="156"/>
      <c r="S175" s="135"/>
      <c r="T175" s="135"/>
      <c r="U175" s="135"/>
      <c r="V175" s="135"/>
    </row>
    <row r="176" spans="1:22" s="73" customFormat="1" ht="15.75" customHeight="1">
      <c r="A176" s="70">
        <v>1</v>
      </c>
      <c r="B176" s="61">
        <v>1</v>
      </c>
      <c r="C176" s="86" t="s">
        <v>94</v>
      </c>
      <c r="D176" s="86" t="s">
        <v>446</v>
      </c>
      <c r="E176" s="86" t="s">
        <v>155</v>
      </c>
      <c r="F176" s="87">
        <v>7</v>
      </c>
      <c r="G176" s="88" t="s">
        <v>39</v>
      </c>
      <c r="H176" s="86" t="s">
        <v>40</v>
      </c>
      <c r="I176" s="89" t="s">
        <v>95</v>
      </c>
      <c r="J176" s="94" t="s">
        <v>194</v>
      </c>
      <c r="K176" s="88" t="s">
        <v>19</v>
      </c>
      <c r="L176" s="87">
        <v>31</v>
      </c>
      <c r="M176" s="91" t="s">
        <v>23</v>
      </c>
      <c r="N176" s="93">
        <f>1*42000</f>
        <v>42000</v>
      </c>
      <c r="O176" s="93">
        <f>$Q$1*N176</f>
        <v>84000</v>
      </c>
      <c r="P176" s="167" t="s">
        <v>20</v>
      </c>
      <c r="Q176" s="138"/>
      <c r="R176" s="156"/>
      <c r="S176" s="138"/>
      <c r="T176" s="138"/>
      <c r="U176" s="138"/>
      <c r="V176" s="138"/>
    </row>
    <row r="177" spans="2:22" ht="15.75" customHeight="1">
      <c r="B177" s="35"/>
      <c r="C177" s="4"/>
      <c r="D177" s="4"/>
      <c r="E177" s="4"/>
      <c r="F177" s="18"/>
      <c r="G177" s="5"/>
      <c r="H177" s="4"/>
      <c r="I177" s="6"/>
      <c r="J177" s="45"/>
      <c r="K177" s="5"/>
      <c r="L177" s="50">
        <f>SUM(L175:L176)</f>
        <v>31</v>
      </c>
      <c r="M177" s="22" t="s">
        <v>14</v>
      </c>
      <c r="N177" s="24">
        <f>N176</f>
        <v>42000</v>
      </c>
      <c r="O177" s="24">
        <f>O176</f>
        <v>84000</v>
      </c>
      <c r="P177" s="33"/>
      <c r="Q177" s="156"/>
      <c r="R177" s="156"/>
      <c r="S177" s="135"/>
      <c r="T177" s="135"/>
      <c r="U177" s="135"/>
      <c r="V177" s="135"/>
    </row>
    <row r="178" spans="2:22" ht="15.75">
      <c r="B178" s="190" t="s">
        <v>330</v>
      </c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2"/>
      <c r="Q178" s="135"/>
      <c r="R178" s="156"/>
      <c r="S178" s="135"/>
      <c r="T178" s="135"/>
      <c r="U178" s="135"/>
      <c r="V178" s="135"/>
    </row>
    <row r="179" spans="2:22" ht="15.75">
      <c r="B179" s="190" t="s">
        <v>307</v>
      </c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2"/>
      <c r="Q179" s="135"/>
      <c r="R179" s="156"/>
      <c r="S179" s="135"/>
      <c r="T179" s="135"/>
      <c r="U179" s="135"/>
      <c r="V179" s="135"/>
    </row>
    <row r="180" spans="2:22" ht="15.75">
      <c r="B180" s="190" t="s">
        <v>435</v>
      </c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2"/>
      <c r="Q180" s="135"/>
      <c r="R180" s="156"/>
      <c r="S180" s="135"/>
      <c r="T180" s="135"/>
      <c r="U180" s="135"/>
      <c r="V180" s="135"/>
    </row>
    <row r="181" spans="2:22" ht="63.75">
      <c r="B181" s="34" t="s">
        <v>1</v>
      </c>
      <c r="C181" s="9" t="s">
        <v>2</v>
      </c>
      <c r="D181" s="9" t="s">
        <v>3</v>
      </c>
      <c r="E181" s="10" t="s">
        <v>4</v>
      </c>
      <c r="F181" s="19" t="s">
        <v>5</v>
      </c>
      <c r="G181" s="8" t="s">
        <v>6</v>
      </c>
      <c r="H181" s="10" t="s">
        <v>7</v>
      </c>
      <c r="I181" s="11" t="s">
        <v>8</v>
      </c>
      <c r="J181" s="46" t="s">
        <v>9</v>
      </c>
      <c r="K181" s="8" t="s">
        <v>10</v>
      </c>
      <c r="L181" s="19" t="s">
        <v>11</v>
      </c>
      <c r="M181" s="12" t="s">
        <v>12</v>
      </c>
      <c r="N181" s="180" t="s">
        <v>441</v>
      </c>
      <c r="O181" s="180" t="s">
        <v>445</v>
      </c>
      <c r="P181" s="166" t="s">
        <v>13</v>
      </c>
      <c r="Q181" s="135"/>
      <c r="R181" s="156"/>
      <c r="S181" s="135"/>
      <c r="T181" s="135"/>
      <c r="U181" s="135"/>
      <c r="V181" s="135"/>
    </row>
    <row r="182" spans="1:22" s="73" customFormat="1" ht="15.75" customHeight="1">
      <c r="A182" s="70">
        <v>1</v>
      </c>
      <c r="B182" s="61">
        <v>1</v>
      </c>
      <c r="C182" s="86" t="s">
        <v>89</v>
      </c>
      <c r="D182" s="86" t="s">
        <v>446</v>
      </c>
      <c r="E182" s="86" t="s">
        <v>153</v>
      </c>
      <c r="F182" s="87">
        <v>19</v>
      </c>
      <c r="G182" s="88" t="s">
        <v>46</v>
      </c>
      <c r="H182" s="86" t="s">
        <v>17</v>
      </c>
      <c r="I182" s="89" t="s">
        <v>90</v>
      </c>
      <c r="J182" s="94">
        <v>94496684</v>
      </c>
      <c r="K182" s="88" t="s">
        <v>50</v>
      </c>
      <c r="L182" s="87">
        <v>40</v>
      </c>
      <c r="M182" s="91" t="s">
        <v>23</v>
      </c>
      <c r="N182" s="93">
        <f>1*43000</f>
        <v>43000</v>
      </c>
      <c r="O182" s="93">
        <f>$Q$1*N182</f>
        <v>86000</v>
      </c>
      <c r="P182" s="167" t="s">
        <v>20</v>
      </c>
      <c r="Q182" s="138"/>
      <c r="R182" s="156"/>
      <c r="S182" s="138"/>
      <c r="T182" s="138"/>
      <c r="U182" s="138"/>
      <c r="V182" s="138"/>
    </row>
    <row r="183" spans="2:22" ht="15.75" customHeight="1">
      <c r="B183" s="35"/>
      <c r="C183" s="4"/>
      <c r="D183" s="4"/>
      <c r="E183" s="4"/>
      <c r="F183" s="18"/>
      <c r="G183" s="5"/>
      <c r="H183" s="4"/>
      <c r="I183" s="6"/>
      <c r="J183" s="45"/>
      <c r="K183" s="5"/>
      <c r="L183" s="50">
        <f>SUM(L181:L182)</f>
        <v>40</v>
      </c>
      <c r="M183" s="22" t="s">
        <v>14</v>
      </c>
      <c r="N183" s="24">
        <f>N182</f>
        <v>43000</v>
      </c>
      <c r="O183" s="24">
        <f>O182</f>
        <v>86000</v>
      </c>
      <c r="P183" s="33"/>
      <c r="Q183" s="156"/>
      <c r="R183" s="156"/>
      <c r="S183" s="135"/>
      <c r="T183" s="135"/>
      <c r="U183" s="135"/>
      <c r="V183" s="135"/>
    </row>
    <row r="184" spans="2:22" ht="15.75">
      <c r="B184" s="190" t="s">
        <v>331</v>
      </c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2"/>
      <c r="Q184" s="135"/>
      <c r="R184" s="156"/>
      <c r="S184" s="135"/>
      <c r="T184" s="135"/>
      <c r="U184" s="135"/>
      <c r="V184" s="135"/>
    </row>
    <row r="185" spans="2:22" ht="15.75">
      <c r="B185" s="190" t="s">
        <v>307</v>
      </c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2"/>
      <c r="Q185" s="135"/>
      <c r="R185" s="156"/>
      <c r="S185" s="135"/>
      <c r="T185" s="135"/>
      <c r="U185" s="135"/>
      <c r="V185" s="135"/>
    </row>
    <row r="186" spans="2:22" ht="15.75">
      <c r="B186" s="190" t="s">
        <v>436</v>
      </c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2"/>
      <c r="Q186" s="135"/>
      <c r="R186" s="156"/>
      <c r="S186" s="135"/>
      <c r="T186" s="135"/>
      <c r="U186" s="135"/>
      <c r="V186" s="135"/>
    </row>
    <row r="187" spans="2:22" ht="63.75">
      <c r="B187" s="34" t="s">
        <v>1</v>
      </c>
      <c r="C187" s="9" t="s">
        <v>2</v>
      </c>
      <c r="D187" s="9" t="s">
        <v>3</v>
      </c>
      <c r="E187" s="10" t="s">
        <v>4</v>
      </c>
      <c r="F187" s="19" t="s">
        <v>5</v>
      </c>
      <c r="G187" s="8" t="s">
        <v>6</v>
      </c>
      <c r="H187" s="10" t="s">
        <v>7</v>
      </c>
      <c r="I187" s="11" t="s">
        <v>8</v>
      </c>
      <c r="J187" s="46" t="s">
        <v>9</v>
      </c>
      <c r="K187" s="8" t="s">
        <v>10</v>
      </c>
      <c r="L187" s="19" t="s">
        <v>11</v>
      </c>
      <c r="M187" s="12" t="s">
        <v>12</v>
      </c>
      <c r="N187" s="180" t="s">
        <v>441</v>
      </c>
      <c r="O187" s="180" t="s">
        <v>445</v>
      </c>
      <c r="P187" s="166" t="s">
        <v>13</v>
      </c>
      <c r="Q187" s="135"/>
      <c r="R187" s="156"/>
      <c r="S187" s="135"/>
      <c r="T187" s="135"/>
      <c r="U187" s="135"/>
      <c r="V187" s="135"/>
    </row>
    <row r="188" spans="1:22" s="73" customFormat="1" ht="15.75" customHeight="1">
      <c r="A188" s="70">
        <v>1</v>
      </c>
      <c r="B188" s="61">
        <v>1</v>
      </c>
      <c r="C188" s="86" t="s">
        <v>91</v>
      </c>
      <c r="D188" s="86" t="s">
        <v>446</v>
      </c>
      <c r="E188" s="86" t="s">
        <v>154</v>
      </c>
      <c r="F188" s="87" t="s">
        <v>92</v>
      </c>
      <c r="G188" s="88" t="s">
        <v>16</v>
      </c>
      <c r="H188" s="86" t="s">
        <v>17</v>
      </c>
      <c r="I188" s="89" t="s">
        <v>93</v>
      </c>
      <c r="J188" s="94" t="s">
        <v>193</v>
      </c>
      <c r="K188" s="88" t="s">
        <v>19</v>
      </c>
      <c r="L188" s="87">
        <v>16</v>
      </c>
      <c r="M188" s="91" t="s">
        <v>23</v>
      </c>
      <c r="N188" s="93">
        <f>1*8500</f>
        <v>8500</v>
      </c>
      <c r="O188" s="93">
        <f>$Q$1*N188</f>
        <v>17000</v>
      </c>
      <c r="P188" s="167" t="s">
        <v>20</v>
      </c>
      <c r="Q188" s="138"/>
      <c r="R188" s="156"/>
      <c r="S188" s="138"/>
      <c r="T188" s="138"/>
      <c r="U188" s="138"/>
      <c r="V188" s="138"/>
    </row>
    <row r="189" spans="2:22" ht="15.75" customHeight="1">
      <c r="B189" s="35"/>
      <c r="C189" s="4"/>
      <c r="D189" s="4"/>
      <c r="E189" s="4"/>
      <c r="F189" s="18"/>
      <c r="G189" s="5"/>
      <c r="H189" s="4"/>
      <c r="I189" s="6"/>
      <c r="J189" s="45"/>
      <c r="K189" s="5"/>
      <c r="L189" s="50">
        <f>SUM(L187:L188)</f>
        <v>16</v>
      </c>
      <c r="M189" s="22" t="s">
        <v>14</v>
      </c>
      <c r="N189" s="24">
        <f>N188</f>
        <v>8500</v>
      </c>
      <c r="O189" s="24">
        <f>O188</f>
        <v>17000</v>
      </c>
      <c r="P189" s="33"/>
      <c r="Q189" s="156"/>
      <c r="R189" s="156"/>
      <c r="S189" s="135"/>
      <c r="T189" s="135"/>
      <c r="U189" s="135"/>
      <c r="V189" s="135"/>
    </row>
    <row r="190" spans="2:22" ht="15.75">
      <c r="B190" s="190" t="s">
        <v>332</v>
      </c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2"/>
      <c r="Q190" s="135"/>
      <c r="R190" s="156"/>
      <c r="S190" s="135"/>
      <c r="T190" s="135"/>
      <c r="U190" s="135"/>
      <c r="V190" s="135"/>
    </row>
    <row r="191" spans="2:22" ht="15.75">
      <c r="B191" s="190" t="s">
        <v>307</v>
      </c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2"/>
      <c r="Q191" s="135"/>
      <c r="R191" s="156"/>
      <c r="S191" s="135"/>
      <c r="T191" s="135"/>
      <c r="U191" s="135"/>
      <c r="V191" s="135"/>
    </row>
    <row r="192" spans="2:22" ht="15.75">
      <c r="B192" s="193" t="s">
        <v>367</v>
      </c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5"/>
      <c r="Q192" s="135"/>
      <c r="R192" s="156"/>
      <c r="S192" s="135"/>
      <c r="T192" s="135"/>
      <c r="U192" s="135"/>
      <c r="V192" s="135"/>
    </row>
    <row r="193" spans="2:22" ht="63.75">
      <c r="B193" s="34" t="s">
        <v>1</v>
      </c>
      <c r="C193" s="9" t="s">
        <v>2</v>
      </c>
      <c r="D193" s="9" t="s">
        <v>3</v>
      </c>
      <c r="E193" s="10" t="s">
        <v>4</v>
      </c>
      <c r="F193" s="19" t="s">
        <v>5</v>
      </c>
      <c r="G193" s="8" t="s">
        <v>6</v>
      </c>
      <c r="H193" s="10" t="s">
        <v>7</v>
      </c>
      <c r="I193" s="11" t="s">
        <v>8</v>
      </c>
      <c r="J193" s="46" t="s">
        <v>9</v>
      </c>
      <c r="K193" s="8" t="s">
        <v>10</v>
      </c>
      <c r="L193" s="19" t="s">
        <v>11</v>
      </c>
      <c r="M193" s="12" t="s">
        <v>12</v>
      </c>
      <c r="N193" s="180" t="s">
        <v>441</v>
      </c>
      <c r="O193" s="180" t="s">
        <v>445</v>
      </c>
      <c r="P193" s="166" t="s">
        <v>13</v>
      </c>
      <c r="Q193" s="135"/>
      <c r="R193" s="156"/>
      <c r="S193" s="135"/>
      <c r="T193" s="135"/>
      <c r="U193" s="135"/>
      <c r="V193" s="135"/>
    </row>
    <row r="194" spans="1:22" s="73" customFormat="1" ht="15.75" customHeight="1">
      <c r="A194" s="70">
        <v>1</v>
      </c>
      <c r="B194" s="61">
        <v>1</v>
      </c>
      <c r="C194" s="86" t="s">
        <v>412</v>
      </c>
      <c r="D194" s="86" t="s">
        <v>446</v>
      </c>
      <c r="E194" s="86" t="s">
        <v>137</v>
      </c>
      <c r="F194" s="87">
        <v>54</v>
      </c>
      <c r="G194" s="88" t="s">
        <v>16</v>
      </c>
      <c r="H194" s="86" t="s">
        <v>17</v>
      </c>
      <c r="I194" s="89" t="s">
        <v>386</v>
      </c>
      <c r="J194" s="94">
        <v>90464037</v>
      </c>
      <c r="K194" s="88" t="s">
        <v>18</v>
      </c>
      <c r="L194" s="87">
        <v>30</v>
      </c>
      <c r="M194" s="91" t="s">
        <v>387</v>
      </c>
      <c r="N194" s="92">
        <f>1*13000</f>
        <v>13000</v>
      </c>
      <c r="O194" s="93">
        <f>$Q$1*N194</f>
        <v>26000</v>
      </c>
      <c r="P194" s="167" t="s">
        <v>20</v>
      </c>
      <c r="Q194" s="138"/>
      <c r="R194" s="156"/>
      <c r="S194" s="138"/>
      <c r="T194" s="138"/>
      <c r="U194" s="138"/>
      <c r="V194" s="138"/>
    </row>
    <row r="195" spans="2:22" ht="15.75" customHeight="1">
      <c r="B195" s="35"/>
      <c r="C195" s="4"/>
      <c r="D195" s="4"/>
      <c r="E195" s="4"/>
      <c r="F195" s="18"/>
      <c r="G195" s="5"/>
      <c r="H195" s="4"/>
      <c r="I195" s="6"/>
      <c r="J195" s="45"/>
      <c r="K195" s="5"/>
      <c r="L195" s="50">
        <f>SUM(L193:L194)</f>
        <v>30</v>
      </c>
      <c r="M195" s="22" t="s">
        <v>14</v>
      </c>
      <c r="N195" s="24">
        <f>N194</f>
        <v>13000</v>
      </c>
      <c r="O195" s="24">
        <f>O194</f>
        <v>26000</v>
      </c>
      <c r="P195" s="33"/>
      <c r="Q195" s="156"/>
      <c r="R195" s="156"/>
      <c r="S195" s="135"/>
      <c r="T195" s="135"/>
      <c r="U195" s="135"/>
      <c r="V195" s="135"/>
    </row>
    <row r="196" spans="2:22" ht="15.75">
      <c r="B196" s="190" t="s">
        <v>333</v>
      </c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2"/>
      <c r="Q196" s="135"/>
      <c r="R196" s="156"/>
      <c r="S196" s="135"/>
      <c r="T196" s="135"/>
      <c r="U196" s="135"/>
      <c r="V196" s="135"/>
    </row>
    <row r="197" spans="2:22" ht="15.75">
      <c r="B197" s="190" t="s">
        <v>307</v>
      </c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2"/>
      <c r="Q197" s="135"/>
      <c r="R197" s="156"/>
      <c r="S197" s="135"/>
      <c r="T197" s="135"/>
      <c r="U197" s="135"/>
      <c r="V197" s="135"/>
    </row>
    <row r="198" spans="2:22" ht="15.75">
      <c r="B198" s="193" t="s">
        <v>437</v>
      </c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5"/>
      <c r="Q198" s="135"/>
      <c r="R198" s="156"/>
      <c r="S198" s="135"/>
      <c r="T198" s="135"/>
      <c r="U198" s="135"/>
      <c r="V198" s="135"/>
    </row>
    <row r="199" spans="2:22" ht="63.75">
      <c r="B199" s="34" t="s">
        <v>1</v>
      </c>
      <c r="C199" s="9" t="s">
        <v>2</v>
      </c>
      <c r="D199" s="9" t="s">
        <v>3</v>
      </c>
      <c r="E199" s="10" t="s">
        <v>4</v>
      </c>
      <c r="F199" s="19" t="s">
        <v>5</v>
      </c>
      <c r="G199" s="8" t="s">
        <v>6</v>
      </c>
      <c r="H199" s="10" t="s">
        <v>7</v>
      </c>
      <c r="I199" s="11" t="s">
        <v>8</v>
      </c>
      <c r="J199" s="46" t="s">
        <v>9</v>
      </c>
      <c r="K199" s="8" t="s">
        <v>10</v>
      </c>
      <c r="L199" s="19" t="s">
        <v>11</v>
      </c>
      <c r="M199" s="12" t="s">
        <v>12</v>
      </c>
      <c r="N199" s="180" t="s">
        <v>441</v>
      </c>
      <c r="O199" s="180" t="s">
        <v>445</v>
      </c>
      <c r="P199" s="166" t="s">
        <v>13</v>
      </c>
      <c r="Q199" s="135"/>
      <c r="R199" s="156"/>
      <c r="S199" s="135"/>
      <c r="T199" s="135"/>
      <c r="U199" s="135"/>
      <c r="V199" s="135"/>
    </row>
    <row r="200" spans="1:22" s="73" customFormat="1" ht="15.75" customHeight="1">
      <c r="A200" s="70">
        <v>1</v>
      </c>
      <c r="B200" s="61">
        <v>1</v>
      </c>
      <c r="C200" s="86" t="s">
        <v>78</v>
      </c>
      <c r="D200" s="86" t="s">
        <v>446</v>
      </c>
      <c r="E200" s="86" t="s">
        <v>149</v>
      </c>
      <c r="F200" s="87">
        <v>14</v>
      </c>
      <c r="G200" s="88" t="s">
        <v>16</v>
      </c>
      <c r="H200" s="86" t="s">
        <v>17</v>
      </c>
      <c r="I200" s="89" t="s">
        <v>79</v>
      </c>
      <c r="J200" s="90" t="s">
        <v>388</v>
      </c>
      <c r="K200" s="88" t="s">
        <v>19</v>
      </c>
      <c r="L200" s="87">
        <v>20</v>
      </c>
      <c r="M200" s="91" t="s">
        <v>23</v>
      </c>
      <c r="N200" s="93">
        <f>1*19500</f>
        <v>19500</v>
      </c>
      <c r="O200" s="93">
        <f>$Q$1*N200</f>
        <v>39000</v>
      </c>
      <c r="P200" s="167" t="s">
        <v>20</v>
      </c>
      <c r="Q200" s="138"/>
      <c r="R200" s="156"/>
      <c r="S200" s="138"/>
      <c r="T200" s="138"/>
      <c r="U200" s="138"/>
      <c r="V200" s="138"/>
    </row>
    <row r="201" spans="2:22" ht="15.75" customHeight="1">
      <c r="B201" s="35"/>
      <c r="C201" s="4"/>
      <c r="D201" s="4"/>
      <c r="E201" s="4"/>
      <c r="F201" s="18"/>
      <c r="G201" s="5"/>
      <c r="H201" s="4"/>
      <c r="I201" s="6"/>
      <c r="J201" s="45"/>
      <c r="K201" s="5"/>
      <c r="L201" s="146">
        <f>L200</f>
        <v>20</v>
      </c>
      <c r="M201" s="22" t="s">
        <v>14</v>
      </c>
      <c r="N201" s="24">
        <f>N200</f>
        <v>19500</v>
      </c>
      <c r="O201" s="24">
        <f>O200</f>
        <v>39000</v>
      </c>
      <c r="P201" s="33"/>
      <c r="Q201" s="156"/>
      <c r="R201" s="156"/>
      <c r="S201" s="135"/>
      <c r="T201" s="135"/>
      <c r="U201" s="135"/>
      <c r="V201" s="135"/>
    </row>
    <row r="202" spans="2:22" ht="15.75">
      <c r="B202" s="190" t="s">
        <v>334</v>
      </c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2"/>
      <c r="Q202" s="135"/>
      <c r="R202" s="156"/>
      <c r="S202" s="135"/>
      <c r="T202" s="135"/>
      <c r="U202" s="135"/>
      <c r="V202" s="135"/>
    </row>
    <row r="203" spans="2:22" ht="15.75">
      <c r="B203" s="190" t="s">
        <v>307</v>
      </c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2"/>
      <c r="Q203" s="135"/>
      <c r="R203" s="156"/>
      <c r="S203" s="135"/>
      <c r="T203" s="135"/>
      <c r="U203" s="135"/>
      <c r="V203" s="135"/>
    </row>
    <row r="204" spans="2:22" ht="15.75">
      <c r="B204" s="190" t="s">
        <v>413</v>
      </c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2"/>
      <c r="Q204" s="135"/>
      <c r="R204" s="156"/>
      <c r="S204" s="135"/>
      <c r="T204" s="135"/>
      <c r="U204" s="135"/>
      <c r="V204" s="135"/>
    </row>
    <row r="205" spans="2:22" ht="63.75">
      <c r="B205" s="34" t="s">
        <v>1</v>
      </c>
      <c r="C205" s="9" t="s">
        <v>2</v>
      </c>
      <c r="D205" s="9" t="s">
        <v>3</v>
      </c>
      <c r="E205" s="10" t="s">
        <v>4</v>
      </c>
      <c r="F205" s="19" t="s">
        <v>5</v>
      </c>
      <c r="G205" s="8" t="s">
        <v>6</v>
      </c>
      <c r="H205" s="10" t="s">
        <v>7</v>
      </c>
      <c r="I205" s="11" t="s">
        <v>8</v>
      </c>
      <c r="J205" s="46" t="s">
        <v>9</v>
      </c>
      <c r="K205" s="8" t="s">
        <v>10</v>
      </c>
      <c r="L205" s="19" t="s">
        <v>11</v>
      </c>
      <c r="M205" s="12" t="s">
        <v>12</v>
      </c>
      <c r="N205" s="180" t="s">
        <v>441</v>
      </c>
      <c r="O205" s="180" t="s">
        <v>445</v>
      </c>
      <c r="P205" s="166" t="s">
        <v>13</v>
      </c>
      <c r="Q205" s="135"/>
      <c r="R205" s="156"/>
      <c r="S205" s="135"/>
      <c r="T205" s="135"/>
      <c r="U205" s="135"/>
      <c r="V205" s="135"/>
    </row>
    <row r="206" spans="1:22" s="73" customFormat="1" ht="15.75" customHeight="1">
      <c r="A206" s="70">
        <v>1</v>
      </c>
      <c r="B206" s="61">
        <v>1</v>
      </c>
      <c r="C206" s="86" t="s">
        <v>97</v>
      </c>
      <c r="D206" s="86" t="s">
        <v>446</v>
      </c>
      <c r="E206" s="86" t="s">
        <v>123</v>
      </c>
      <c r="F206" s="87">
        <v>18</v>
      </c>
      <c r="G206" s="88" t="s">
        <v>16</v>
      </c>
      <c r="H206" s="86" t="s">
        <v>17</v>
      </c>
      <c r="I206" s="89" t="s">
        <v>199</v>
      </c>
      <c r="J206" s="94" t="s">
        <v>200</v>
      </c>
      <c r="K206" s="88" t="s">
        <v>34</v>
      </c>
      <c r="L206" s="87">
        <v>95</v>
      </c>
      <c r="M206" s="91" t="s">
        <v>23</v>
      </c>
      <c r="N206" s="93">
        <f>1*172000</f>
        <v>172000</v>
      </c>
      <c r="O206" s="93">
        <f>$Q$1*N206</f>
        <v>344000</v>
      </c>
      <c r="P206" s="167" t="s">
        <v>20</v>
      </c>
      <c r="Q206" s="138"/>
      <c r="R206" s="156"/>
      <c r="S206" s="138"/>
      <c r="T206" s="138"/>
      <c r="U206" s="138"/>
      <c r="V206" s="138"/>
    </row>
    <row r="207" spans="1:22" s="73" customFormat="1" ht="15.75" customHeight="1">
      <c r="A207" s="70">
        <v>1</v>
      </c>
      <c r="B207" s="61">
        <v>2</v>
      </c>
      <c r="C207" s="86" t="s">
        <v>97</v>
      </c>
      <c r="D207" s="86" t="s">
        <v>446</v>
      </c>
      <c r="E207" s="86" t="s">
        <v>104</v>
      </c>
      <c r="F207" s="87">
        <v>30</v>
      </c>
      <c r="G207" s="88" t="s">
        <v>16</v>
      </c>
      <c r="H207" s="86" t="s">
        <v>17</v>
      </c>
      <c r="I207" s="89" t="s">
        <v>42</v>
      </c>
      <c r="J207" s="94" t="s">
        <v>43</v>
      </c>
      <c r="K207" s="88" t="s">
        <v>34</v>
      </c>
      <c r="L207" s="87">
        <v>55</v>
      </c>
      <c r="M207" s="91" t="s">
        <v>23</v>
      </c>
      <c r="N207" s="93">
        <f>1*99000</f>
        <v>99000</v>
      </c>
      <c r="O207" s="93">
        <f>$Q$1*N207</f>
        <v>198000</v>
      </c>
      <c r="P207" s="167" t="s">
        <v>20</v>
      </c>
      <c r="Q207" s="138"/>
      <c r="R207" s="156"/>
      <c r="S207" s="138"/>
      <c r="T207" s="138"/>
      <c r="U207" s="138"/>
      <c r="V207" s="138"/>
    </row>
    <row r="208" spans="2:22" ht="15.75" customHeight="1">
      <c r="B208" s="35"/>
      <c r="C208" s="4"/>
      <c r="D208" s="4"/>
      <c r="E208" s="4"/>
      <c r="F208" s="18"/>
      <c r="G208" s="5"/>
      <c r="H208" s="4"/>
      <c r="I208" s="6"/>
      <c r="J208" s="45"/>
      <c r="K208" s="5"/>
      <c r="L208" s="50">
        <f>SUM(L206:L207)</f>
        <v>150</v>
      </c>
      <c r="M208" s="22" t="s">
        <v>14</v>
      </c>
      <c r="N208" s="24">
        <f>SUM(N206:N207)</f>
        <v>271000</v>
      </c>
      <c r="O208" s="24">
        <f>SUM(O206:O207)</f>
        <v>542000</v>
      </c>
      <c r="P208" s="33"/>
      <c r="Q208" s="156"/>
      <c r="R208" s="156"/>
      <c r="S208" s="135"/>
      <c r="T208" s="135"/>
      <c r="U208" s="135"/>
      <c r="V208" s="135"/>
    </row>
    <row r="209" spans="2:22" ht="15.75">
      <c r="B209" s="190" t="s">
        <v>335</v>
      </c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2"/>
      <c r="Q209" s="135"/>
      <c r="R209" s="156"/>
      <c r="S209" s="135"/>
      <c r="T209" s="135"/>
      <c r="U209" s="135"/>
      <c r="V209" s="135"/>
    </row>
    <row r="210" spans="2:22" ht="15.75">
      <c r="B210" s="190" t="s">
        <v>307</v>
      </c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2"/>
      <c r="Q210" s="135"/>
      <c r="R210" s="156"/>
      <c r="S210" s="135"/>
      <c r="T210" s="135"/>
      <c r="U210" s="135"/>
      <c r="V210" s="135"/>
    </row>
    <row r="211" spans="2:22" ht="15.75">
      <c r="B211" s="190" t="s">
        <v>421</v>
      </c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2"/>
      <c r="Q211" s="135"/>
      <c r="R211" s="156"/>
      <c r="S211" s="135"/>
      <c r="T211" s="135"/>
      <c r="U211" s="135"/>
      <c r="V211" s="135"/>
    </row>
    <row r="212" spans="2:22" ht="63.75">
      <c r="B212" s="34" t="s">
        <v>1</v>
      </c>
      <c r="C212" s="9" t="s">
        <v>2</v>
      </c>
      <c r="D212" s="9" t="s">
        <v>3</v>
      </c>
      <c r="E212" s="10" t="s">
        <v>4</v>
      </c>
      <c r="F212" s="19" t="s">
        <v>5</v>
      </c>
      <c r="G212" s="8" t="s">
        <v>6</v>
      </c>
      <c r="H212" s="10" t="s">
        <v>7</v>
      </c>
      <c r="I212" s="11" t="s">
        <v>8</v>
      </c>
      <c r="J212" s="46" t="s">
        <v>9</v>
      </c>
      <c r="K212" s="8" t="s">
        <v>10</v>
      </c>
      <c r="L212" s="19" t="s">
        <v>11</v>
      </c>
      <c r="M212" s="12" t="s">
        <v>12</v>
      </c>
      <c r="N212" s="180" t="s">
        <v>441</v>
      </c>
      <c r="O212" s="180" t="s">
        <v>445</v>
      </c>
      <c r="P212" s="166" t="s">
        <v>13</v>
      </c>
      <c r="Q212" s="135"/>
      <c r="R212" s="156"/>
      <c r="S212" s="135"/>
      <c r="T212" s="135"/>
      <c r="U212" s="135"/>
      <c r="V212" s="135"/>
    </row>
    <row r="213" spans="1:22" s="73" customFormat="1" ht="15" customHeight="1">
      <c r="A213" s="70">
        <v>1</v>
      </c>
      <c r="B213" s="61">
        <v>1</v>
      </c>
      <c r="C213" s="86" t="s">
        <v>101</v>
      </c>
      <c r="D213" s="86" t="s">
        <v>446</v>
      </c>
      <c r="E213" s="86" t="s">
        <v>157</v>
      </c>
      <c r="F213" s="87">
        <v>12</v>
      </c>
      <c r="G213" s="88" t="s">
        <v>46</v>
      </c>
      <c r="H213" s="86" t="s">
        <v>17</v>
      </c>
      <c r="I213" s="89" t="s">
        <v>345</v>
      </c>
      <c r="J213" s="90" t="s">
        <v>389</v>
      </c>
      <c r="K213" s="88" t="s">
        <v>34</v>
      </c>
      <c r="L213" s="87">
        <v>120</v>
      </c>
      <c r="M213" s="91" t="s">
        <v>23</v>
      </c>
      <c r="N213" s="72">
        <f>1*134000</f>
        <v>134000</v>
      </c>
      <c r="O213" s="177">
        <f>$Q$1*N213</f>
        <v>268000</v>
      </c>
      <c r="P213" s="167" t="s">
        <v>20</v>
      </c>
      <c r="Q213" s="138"/>
      <c r="R213" s="156"/>
      <c r="S213" s="138"/>
      <c r="T213" s="138"/>
      <c r="U213" s="138"/>
      <c r="V213" s="138"/>
    </row>
    <row r="214" spans="2:22" ht="15" customHeight="1">
      <c r="B214" s="35"/>
      <c r="C214" s="4"/>
      <c r="D214" s="4"/>
      <c r="E214" s="4"/>
      <c r="F214" s="18"/>
      <c r="G214" s="5"/>
      <c r="H214" s="4"/>
      <c r="I214" s="6"/>
      <c r="J214" s="45"/>
      <c r="K214" s="5"/>
      <c r="L214" s="50">
        <f>SUM(L212:L213)</f>
        <v>120</v>
      </c>
      <c r="M214" s="22" t="s">
        <v>14</v>
      </c>
      <c r="N214" s="24">
        <f>N213</f>
        <v>134000</v>
      </c>
      <c r="O214" s="24">
        <f>O213</f>
        <v>268000</v>
      </c>
      <c r="P214" s="33"/>
      <c r="Q214" s="156"/>
      <c r="R214" s="156"/>
      <c r="S214" s="135"/>
      <c r="T214" s="135"/>
      <c r="U214" s="135"/>
      <c r="V214" s="135"/>
    </row>
    <row r="215" spans="2:22" ht="15" customHeight="1">
      <c r="B215" s="190" t="s">
        <v>336</v>
      </c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2"/>
      <c r="Q215" s="135"/>
      <c r="R215" s="156"/>
      <c r="S215" s="135"/>
      <c r="T215" s="135"/>
      <c r="U215" s="135"/>
      <c r="V215" s="135"/>
    </row>
    <row r="216" spans="2:22" ht="15" customHeight="1">
      <c r="B216" s="190" t="s">
        <v>307</v>
      </c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2"/>
      <c r="Q216" s="135"/>
      <c r="R216" s="156"/>
      <c r="S216" s="135"/>
      <c r="T216" s="135"/>
      <c r="U216" s="135"/>
      <c r="V216" s="135"/>
    </row>
    <row r="217" spans="2:22" ht="15.75">
      <c r="B217" s="190" t="s">
        <v>416</v>
      </c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2"/>
      <c r="Q217" s="135"/>
      <c r="R217" s="156"/>
      <c r="S217" s="135"/>
      <c r="T217" s="135"/>
      <c r="U217" s="135"/>
      <c r="V217" s="135"/>
    </row>
    <row r="218" spans="2:22" ht="63.75">
      <c r="B218" s="34" t="s">
        <v>1</v>
      </c>
      <c r="C218" s="9" t="s">
        <v>2</v>
      </c>
      <c r="D218" s="9" t="s">
        <v>3</v>
      </c>
      <c r="E218" s="10" t="s">
        <v>4</v>
      </c>
      <c r="F218" s="19" t="s">
        <v>5</v>
      </c>
      <c r="G218" s="8" t="s">
        <v>6</v>
      </c>
      <c r="H218" s="10" t="s">
        <v>7</v>
      </c>
      <c r="I218" s="11" t="s">
        <v>8</v>
      </c>
      <c r="J218" s="46" t="s">
        <v>9</v>
      </c>
      <c r="K218" s="8" t="s">
        <v>10</v>
      </c>
      <c r="L218" s="19" t="s">
        <v>11</v>
      </c>
      <c r="M218" s="12" t="s">
        <v>12</v>
      </c>
      <c r="N218" s="180" t="s">
        <v>441</v>
      </c>
      <c r="O218" s="180" t="s">
        <v>445</v>
      </c>
      <c r="P218" s="166" t="s">
        <v>13</v>
      </c>
      <c r="Q218" s="135"/>
      <c r="R218" s="156"/>
      <c r="S218" s="135"/>
      <c r="T218" s="135"/>
      <c r="U218" s="135"/>
      <c r="V218" s="135"/>
    </row>
    <row r="219" spans="1:22" s="73" customFormat="1" ht="12.75">
      <c r="A219" s="70">
        <v>1</v>
      </c>
      <c r="B219" s="61">
        <v>1</v>
      </c>
      <c r="C219" s="86" t="s">
        <v>98</v>
      </c>
      <c r="D219" s="86" t="s">
        <v>446</v>
      </c>
      <c r="E219" s="86" t="s">
        <v>25</v>
      </c>
      <c r="F219" s="87">
        <v>14</v>
      </c>
      <c r="G219" s="88" t="s">
        <v>16</v>
      </c>
      <c r="H219" s="86" t="s">
        <v>17</v>
      </c>
      <c r="I219" s="89" t="s">
        <v>195</v>
      </c>
      <c r="J219" s="94" t="s">
        <v>196</v>
      </c>
      <c r="K219" s="88" t="s">
        <v>34</v>
      </c>
      <c r="L219" s="87">
        <v>60</v>
      </c>
      <c r="M219" s="91" t="s">
        <v>23</v>
      </c>
      <c r="N219" s="72">
        <f>1*88000</f>
        <v>88000</v>
      </c>
      <c r="O219" s="177">
        <f>$Q$1*N219</f>
        <v>176000</v>
      </c>
      <c r="P219" s="167" t="s">
        <v>20</v>
      </c>
      <c r="Q219" s="138"/>
      <c r="R219" s="156"/>
      <c r="S219" s="141"/>
      <c r="T219" s="138"/>
      <c r="U219" s="138"/>
      <c r="V219" s="138"/>
    </row>
    <row r="220" spans="1:22" s="73" customFormat="1" ht="15" customHeight="1">
      <c r="A220" s="70">
        <v>1</v>
      </c>
      <c r="B220" s="95">
        <v>2</v>
      </c>
      <c r="C220" s="86" t="s">
        <v>98</v>
      </c>
      <c r="D220" s="86" t="s">
        <v>446</v>
      </c>
      <c r="E220" s="86" t="s">
        <v>25</v>
      </c>
      <c r="F220" s="87">
        <v>14</v>
      </c>
      <c r="G220" s="88" t="s">
        <v>16</v>
      </c>
      <c r="H220" s="86" t="s">
        <v>17</v>
      </c>
      <c r="I220" s="89" t="s">
        <v>197</v>
      </c>
      <c r="J220" s="94" t="s">
        <v>198</v>
      </c>
      <c r="K220" s="88" t="s">
        <v>34</v>
      </c>
      <c r="L220" s="87">
        <v>60</v>
      </c>
      <c r="M220" s="91" t="s">
        <v>23</v>
      </c>
      <c r="N220" s="72">
        <f>1*99000</f>
        <v>99000</v>
      </c>
      <c r="O220" s="177">
        <f>$Q$1*N220</f>
        <v>198000</v>
      </c>
      <c r="P220" s="167" t="s">
        <v>20</v>
      </c>
      <c r="Q220" s="138"/>
      <c r="R220" s="156"/>
      <c r="S220" s="141"/>
      <c r="T220" s="138"/>
      <c r="U220" s="138"/>
      <c r="V220" s="138"/>
    </row>
    <row r="221" spans="1:22" s="73" customFormat="1" ht="12.75">
      <c r="A221" s="70">
        <v>1</v>
      </c>
      <c r="B221" s="61">
        <v>3</v>
      </c>
      <c r="C221" s="86" t="s">
        <v>98</v>
      </c>
      <c r="D221" s="86" t="s">
        <v>446</v>
      </c>
      <c r="E221" s="86" t="s">
        <v>119</v>
      </c>
      <c r="F221" s="87">
        <v>20</v>
      </c>
      <c r="G221" s="88" t="s">
        <v>16</v>
      </c>
      <c r="H221" s="86" t="s">
        <v>17</v>
      </c>
      <c r="I221" s="89" t="s">
        <v>41</v>
      </c>
      <c r="J221" s="90" t="s">
        <v>390</v>
      </c>
      <c r="K221" s="88" t="s">
        <v>34</v>
      </c>
      <c r="L221" s="87">
        <v>65</v>
      </c>
      <c r="M221" s="91" t="s">
        <v>23</v>
      </c>
      <c r="N221" s="72">
        <f>1*120000</f>
        <v>120000</v>
      </c>
      <c r="O221" s="177">
        <f>$Q$1*N221</f>
        <v>240000</v>
      </c>
      <c r="P221" s="167" t="s">
        <v>20</v>
      </c>
      <c r="Q221" s="138"/>
      <c r="R221" s="156"/>
      <c r="S221" s="141"/>
      <c r="T221" s="138"/>
      <c r="U221" s="138"/>
      <c r="V221" s="138"/>
    </row>
    <row r="222" spans="2:22" ht="15" customHeight="1">
      <c r="B222" s="35"/>
      <c r="C222" s="4"/>
      <c r="D222" s="4"/>
      <c r="E222" s="4"/>
      <c r="F222" s="18"/>
      <c r="G222" s="5"/>
      <c r="H222" s="4"/>
      <c r="I222" s="6"/>
      <c r="J222" s="45"/>
      <c r="K222" s="5"/>
      <c r="L222" s="50">
        <f>SUM(L219:L221)</f>
        <v>185</v>
      </c>
      <c r="M222" s="22" t="s">
        <v>14</v>
      </c>
      <c r="N222" s="24">
        <f>SUM(N219:N221)</f>
        <v>307000</v>
      </c>
      <c r="O222" s="24">
        <f>SUM(O219:O221)</f>
        <v>614000</v>
      </c>
      <c r="P222" s="33"/>
      <c r="Q222" s="156"/>
      <c r="R222" s="156"/>
      <c r="S222" s="135"/>
      <c r="T222" s="135"/>
      <c r="U222" s="135"/>
      <c r="V222" s="135"/>
    </row>
    <row r="223" spans="2:22" ht="15" customHeight="1">
      <c r="B223" s="190" t="s">
        <v>337</v>
      </c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2"/>
      <c r="Q223" s="135"/>
      <c r="R223" s="156"/>
      <c r="S223" s="135"/>
      <c r="T223" s="135"/>
      <c r="U223" s="135"/>
      <c r="V223" s="135"/>
    </row>
    <row r="224" spans="2:22" ht="15" customHeight="1">
      <c r="B224" s="190" t="s">
        <v>307</v>
      </c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2"/>
      <c r="Q224" s="135"/>
      <c r="R224" s="156"/>
      <c r="S224" s="135"/>
      <c r="T224" s="135"/>
      <c r="U224" s="135"/>
      <c r="V224" s="135"/>
    </row>
    <row r="225" spans="2:22" ht="15.75" customHeight="1">
      <c r="B225" s="190" t="s">
        <v>418</v>
      </c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2"/>
      <c r="Q225" s="135"/>
      <c r="R225" s="156"/>
      <c r="S225" s="135"/>
      <c r="T225" s="135"/>
      <c r="U225" s="135"/>
      <c r="V225" s="135"/>
    </row>
    <row r="226" spans="2:22" ht="63.75">
      <c r="B226" s="34" t="s">
        <v>1</v>
      </c>
      <c r="C226" s="9" t="s">
        <v>2</v>
      </c>
      <c r="D226" s="9" t="s">
        <v>3</v>
      </c>
      <c r="E226" s="10" t="s">
        <v>4</v>
      </c>
      <c r="F226" s="19" t="s">
        <v>5</v>
      </c>
      <c r="G226" s="8" t="s">
        <v>6</v>
      </c>
      <c r="H226" s="10" t="s">
        <v>7</v>
      </c>
      <c r="I226" s="11" t="s">
        <v>8</v>
      </c>
      <c r="J226" s="46" t="s">
        <v>9</v>
      </c>
      <c r="K226" s="8" t="s">
        <v>10</v>
      </c>
      <c r="L226" s="19" t="s">
        <v>11</v>
      </c>
      <c r="M226" s="12" t="s">
        <v>12</v>
      </c>
      <c r="N226" s="180" t="s">
        <v>441</v>
      </c>
      <c r="O226" s="180" t="s">
        <v>445</v>
      </c>
      <c r="P226" s="166" t="s">
        <v>13</v>
      </c>
      <c r="Q226" s="135"/>
      <c r="R226" s="156"/>
      <c r="S226" s="135"/>
      <c r="T226" s="135"/>
      <c r="U226" s="135"/>
      <c r="V226" s="135"/>
    </row>
    <row r="227" spans="1:22" s="73" customFormat="1" ht="12.75">
      <c r="A227" s="70">
        <v>1</v>
      </c>
      <c r="B227" s="61">
        <v>1</v>
      </c>
      <c r="C227" s="86" t="s">
        <v>176</v>
      </c>
      <c r="D227" s="86" t="s">
        <v>446</v>
      </c>
      <c r="E227" s="86" t="s">
        <v>177</v>
      </c>
      <c r="F227" s="87">
        <v>76</v>
      </c>
      <c r="G227" s="88" t="s">
        <v>68</v>
      </c>
      <c r="H227" s="86" t="s">
        <v>54</v>
      </c>
      <c r="I227" s="89" t="s">
        <v>102</v>
      </c>
      <c r="J227" s="94" t="s">
        <v>103</v>
      </c>
      <c r="K227" s="88" t="s">
        <v>34</v>
      </c>
      <c r="L227" s="87">
        <v>49</v>
      </c>
      <c r="M227" s="91" t="s">
        <v>23</v>
      </c>
      <c r="N227" s="93">
        <f>1*80000</f>
        <v>80000</v>
      </c>
      <c r="O227" s="93">
        <f>$Q$1*N227</f>
        <v>160000</v>
      </c>
      <c r="P227" s="167" t="s">
        <v>20</v>
      </c>
      <c r="Q227" s="138"/>
      <c r="R227" s="156"/>
      <c r="S227" s="138"/>
      <c r="T227" s="138"/>
      <c r="U227" s="138"/>
      <c r="V227" s="138"/>
    </row>
    <row r="228" spans="1:22" s="73" customFormat="1" ht="12.75">
      <c r="A228" s="70">
        <v>1</v>
      </c>
      <c r="B228" s="95">
        <v>2</v>
      </c>
      <c r="C228" s="86" t="s">
        <v>176</v>
      </c>
      <c r="D228" s="86" t="s">
        <v>446</v>
      </c>
      <c r="E228" s="86" t="s">
        <v>177</v>
      </c>
      <c r="F228" s="87">
        <v>76</v>
      </c>
      <c r="G228" s="88" t="s">
        <v>68</v>
      </c>
      <c r="H228" s="86" t="s">
        <v>54</v>
      </c>
      <c r="I228" s="89" t="s">
        <v>99</v>
      </c>
      <c r="J228" s="94" t="s">
        <v>100</v>
      </c>
      <c r="K228" s="88" t="s">
        <v>19</v>
      </c>
      <c r="L228" s="87">
        <v>33</v>
      </c>
      <c r="M228" s="91" t="s">
        <v>23</v>
      </c>
      <c r="N228" s="93">
        <f>1*36000</f>
        <v>36000</v>
      </c>
      <c r="O228" s="93">
        <f>$Q$1*N228</f>
        <v>72000</v>
      </c>
      <c r="P228" s="167" t="s">
        <v>20</v>
      </c>
      <c r="Q228" s="138"/>
      <c r="R228" s="156"/>
      <c r="S228" s="138"/>
      <c r="T228" s="138"/>
      <c r="U228" s="138"/>
      <c r="V228" s="138"/>
    </row>
    <row r="229" spans="2:22" ht="15.75" customHeight="1">
      <c r="B229" s="35"/>
      <c r="C229" s="4"/>
      <c r="D229" s="4"/>
      <c r="E229" s="4"/>
      <c r="F229" s="18"/>
      <c r="G229" s="5"/>
      <c r="H229" s="4"/>
      <c r="I229" s="6"/>
      <c r="J229" s="45"/>
      <c r="K229" s="5"/>
      <c r="L229" s="50">
        <f>SUM(L227:L228)</f>
        <v>82</v>
      </c>
      <c r="M229" s="22" t="s">
        <v>14</v>
      </c>
      <c r="N229" s="24">
        <f>SUM(N227:N228)</f>
        <v>116000</v>
      </c>
      <c r="O229" s="24">
        <f>SUM(O227:O228)</f>
        <v>232000</v>
      </c>
      <c r="P229" s="33"/>
      <c r="Q229" s="156"/>
      <c r="R229" s="156"/>
      <c r="S229" s="135"/>
      <c r="T229" s="135"/>
      <c r="U229" s="135"/>
      <c r="V229" s="135"/>
    </row>
    <row r="230" spans="2:22" ht="15.75" customHeight="1">
      <c r="B230" s="190" t="s">
        <v>338</v>
      </c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2"/>
      <c r="Q230" s="135"/>
      <c r="R230" s="156"/>
      <c r="S230" s="135"/>
      <c r="T230" s="135"/>
      <c r="U230" s="135"/>
      <c r="V230" s="135"/>
    </row>
    <row r="231" spans="2:22" ht="15.75" customHeight="1">
      <c r="B231" s="190" t="s">
        <v>307</v>
      </c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2"/>
      <c r="Q231" s="135"/>
      <c r="R231" s="156"/>
      <c r="S231" s="135"/>
      <c r="T231" s="135"/>
      <c r="U231" s="135"/>
      <c r="V231" s="135"/>
    </row>
    <row r="232" spans="2:22" ht="15.75">
      <c r="B232" s="190" t="s">
        <v>420</v>
      </c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2"/>
      <c r="Q232" s="135"/>
      <c r="R232" s="156"/>
      <c r="S232" s="135"/>
      <c r="T232" s="135"/>
      <c r="U232" s="135"/>
      <c r="V232" s="135"/>
    </row>
    <row r="233" spans="2:22" ht="63.75">
      <c r="B233" s="34" t="s">
        <v>1</v>
      </c>
      <c r="C233" s="9" t="s">
        <v>2</v>
      </c>
      <c r="D233" s="9" t="s">
        <v>3</v>
      </c>
      <c r="E233" s="10" t="s">
        <v>4</v>
      </c>
      <c r="F233" s="19" t="s">
        <v>5</v>
      </c>
      <c r="G233" s="8" t="s">
        <v>6</v>
      </c>
      <c r="H233" s="10" t="s">
        <v>7</v>
      </c>
      <c r="I233" s="11" t="s">
        <v>8</v>
      </c>
      <c r="J233" s="46" t="s">
        <v>9</v>
      </c>
      <c r="K233" s="8" t="s">
        <v>10</v>
      </c>
      <c r="L233" s="19" t="s">
        <v>11</v>
      </c>
      <c r="M233" s="12" t="s">
        <v>12</v>
      </c>
      <c r="N233" s="180" t="s">
        <v>441</v>
      </c>
      <c r="O233" s="180" t="s">
        <v>445</v>
      </c>
      <c r="P233" s="166" t="s">
        <v>13</v>
      </c>
      <c r="Q233" s="135"/>
      <c r="R233" s="156"/>
      <c r="S233" s="135"/>
      <c r="T233" s="135"/>
      <c r="U233" s="135"/>
      <c r="V233" s="135"/>
    </row>
    <row r="234" spans="1:22" s="73" customFormat="1" ht="12.75">
      <c r="A234" s="70">
        <v>1</v>
      </c>
      <c r="B234" s="61">
        <v>1</v>
      </c>
      <c r="C234" s="86" t="s">
        <v>96</v>
      </c>
      <c r="D234" s="86" t="s">
        <v>446</v>
      </c>
      <c r="E234" s="86" t="s">
        <v>156</v>
      </c>
      <c r="F234" s="87">
        <v>20</v>
      </c>
      <c r="G234" s="88" t="s">
        <v>39</v>
      </c>
      <c r="H234" s="86" t="s">
        <v>40</v>
      </c>
      <c r="I234" s="89" t="s">
        <v>282</v>
      </c>
      <c r="J234" s="90" t="s">
        <v>391</v>
      </c>
      <c r="K234" s="88" t="s">
        <v>34</v>
      </c>
      <c r="L234" s="87">
        <v>135</v>
      </c>
      <c r="M234" s="91" t="s">
        <v>23</v>
      </c>
      <c r="N234" s="93">
        <f>1*260000</f>
        <v>260000</v>
      </c>
      <c r="O234" s="93">
        <f>$Q$1*N234</f>
        <v>520000</v>
      </c>
      <c r="P234" s="167" t="s">
        <v>20</v>
      </c>
      <c r="Q234" s="138"/>
      <c r="R234" s="156"/>
      <c r="S234" s="138"/>
      <c r="T234" s="138"/>
      <c r="U234" s="138"/>
      <c r="V234" s="138"/>
    </row>
    <row r="235" spans="2:22" ht="15" customHeight="1">
      <c r="B235" s="35"/>
      <c r="C235" s="4"/>
      <c r="D235" s="4"/>
      <c r="E235" s="4"/>
      <c r="F235" s="18"/>
      <c r="G235" s="5"/>
      <c r="H235" s="4"/>
      <c r="I235" s="6"/>
      <c r="J235" s="45"/>
      <c r="K235" s="5"/>
      <c r="L235" s="50">
        <f>SUM(L234:L234)</f>
        <v>135</v>
      </c>
      <c r="M235" s="22" t="s">
        <v>14</v>
      </c>
      <c r="N235" s="24">
        <f>SUM(N234:N234)</f>
        <v>260000</v>
      </c>
      <c r="O235" s="24">
        <f>SUM(O234:O234)</f>
        <v>520000</v>
      </c>
      <c r="P235" s="33"/>
      <c r="Q235" s="156"/>
      <c r="R235" s="156"/>
      <c r="S235" s="135"/>
      <c r="T235" s="135"/>
      <c r="U235" s="135"/>
      <c r="V235" s="135"/>
    </row>
    <row r="236" spans="2:22" ht="15.75">
      <c r="B236" s="190" t="s">
        <v>339</v>
      </c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2"/>
      <c r="Q236" s="135"/>
      <c r="R236" s="156"/>
      <c r="S236" s="135"/>
      <c r="T236" s="135"/>
      <c r="U236" s="135"/>
      <c r="V236" s="135"/>
    </row>
    <row r="237" spans="2:22" ht="15.75">
      <c r="B237" s="190" t="s">
        <v>307</v>
      </c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2"/>
      <c r="Q237" s="135"/>
      <c r="R237" s="156"/>
      <c r="S237" s="135"/>
      <c r="T237" s="135"/>
      <c r="U237" s="135"/>
      <c r="V237" s="135"/>
    </row>
    <row r="238" spans="2:22" ht="15.75">
      <c r="B238" s="190" t="s">
        <v>351</v>
      </c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2"/>
      <c r="Q238" s="135"/>
      <c r="R238" s="156"/>
      <c r="S238" s="135"/>
      <c r="T238" s="135"/>
      <c r="U238" s="135"/>
      <c r="V238" s="135"/>
    </row>
    <row r="239" spans="2:22" ht="63.75">
      <c r="B239" s="34" t="s">
        <v>1</v>
      </c>
      <c r="C239" s="9" t="s">
        <v>2</v>
      </c>
      <c r="D239" s="9" t="s">
        <v>3</v>
      </c>
      <c r="E239" s="10" t="s">
        <v>4</v>
      </c>
      <c r="F239" s="19" t="s">
        <v>5</v>
      </c>
      <c r="G239" s="8" t="s">
        <v>6</v>
      </c>
      <c r="H239" s="10" t="s">
        <v>7</v>
      </c>
      <c r="I239" s="11" t="s">
        <v>8</v>
      </c>
      <c r="J239" s="46" t="s">
        <v>9</v>
      </c>
      <c r="K239" s="8" t="s">
        <v>10</v>
      </c>
      <c r="L239" s="19" t="s">
        <v>11</v>
      </c>
      <c r="M239" s="12" t="s">
        <v>12</v>
      </c>
      <c r="N239" s="180" t="s">
        <v>441</v>
      </c>
      <c r="O239" s="180" t="s">
        <v>445</v>
      </c>
      <c r="P239" s="166" t="s">
        <v>13</v>
      </c>
      <c r="Q239" s="135"/>
      <c r="R239" s="156"/>
      <c r="S239" s="135"/>
      <c r="T239" s="135"/>
      <c r="U239" s="135"/>
      <c r="V239" s="135"/>
    </row>
    <row r="240" spans="1:22" s="73" customFormat="1" ht="15" customHeight="1">
      <c r="A240" s="70">
        <v>1</v>
      </c>
      <c r="B240" s="61">
        <v>1</v>
      </c>
      <c r="C240" s="86" t="s">
        <v>350</v>
      </c>
      <c r="D240" s="86" t="s">
        <v>446</v>
      </c>
      <c r="E240" s="86" t="s">
        <v>158</v>
      </c>
      <c r="F240" s="87">
        <v>10</v>
      </c>
      <c r="G240" s="88" t="s">
        <v>28</v>
      </c>
      <c r="H240" s="86" t="s">
        <v>29</v>
      </c>
      <c r="I240" s="89" t="s">
        <v>183</v>
      </c>
      <c r="J240" s="90" t="s">
        <v>392</v>
      </c>
      <c r="K240" s="88" t="s">
        <v>34</v>
      </c>
      <c r="L240" s="87">
        <v>55</v>
      </c>
      <c r="M240" s="91" t="s">
        <v>23</v>
      </c>
      <c r="N240" s="93">
        <f>1*70000</f>
        <v>70000</v>
      </c>
      <c r="O240" s="93">
        <f>$Q$1*N240</f>
        <v>140000</v>
      </c>
      <c r="P240" s="167" t="s">
        <v>20</v>
      </c>
      <c r="Q240" s="138"/>
      <c r="R240" s="156"/>
      <c r="S240" s="141"/>
      <c r="T240" s="138"/>
      <c r="U240" s="138"/>
      <c r="V240" s="138"/>
    </row>
    <row r="241" spans="2:22" ht="15" customHeight="1">
      <c r="B241" s="35"/>
      <c r="C241" s="4"/>
      <c r="D241" s="4"/>
      <c r="E241" s="4"/>
      <c r="F241" s="18"/>
      <c r="G241" s="5"/>
      <c r="H241" s="4"/>
      <c r="I241" s="6"/>
      <c r="J241" s="45"/>
      <c r="K241" s="5"/>
      <c r="L241" s="50">
        <f>SUM(L239:L240)</f>
        <v>55</v>
      </c>
      <c r="M241" s="22" t="s">
        <v>14</v>
      </c>
      <c r="N241" s="24">
        <f>SUM(N240:N240)</f>
        <v>70000</v>
      </c>
      <c r="O241" s="24">
        <f>SUM(O240:O240)</f>
        <v>140000</v>
      </c>
      <c r="P241" s="33"/>
      <c r="Q241" s="156"/>
      <c r="R241" s="156"/>
      <c r="S241" s="135"/>
      <c r="T241" s="135"/>
      <c r="U241" s="135"/>
      <c r="V241" s="135"/>
    </row>
    <row r="242" spans="2:22" ht="15.75">
      <c r="B242" s="190" t="s">
        <v>340</v>
      </c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2"/>
      <c r="Q242" s="135"/>
      <c r="R242" s="156"/>
      <c r="S242" s="135"/>
      <c r="T242" s="135"/>
      <c r="U242" s="135"/>
      <c r="V242" s="135"/>
    </row>
    <row r="243" spans="2:22" ht="15.75">
      <c r="B243" s="190" t="s">
        <v>307</v>
      </c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2"/>
      <c r="Q243" s="135"/>
      <c r="R243" s="156"/>
      <c r="S243" s="135"/>
      <c r="T243" s="135"/>
      <c r="U243" s="135"/>
      <c r="V243" s="135"/>
    </row>
    <row r="244" spans="2:22" ht="15.75">
      <c r="B244" s="190" t="s">
        <v>414</v>
      </c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2"/>
      <c r="Q244" s="135"/>
      <c r="R244" s="156"/>
      <c r="S244" s="135"/>
      <c r="T244" s="135"/>
      <c r="U244" s="135"/>
      <c r="V244" s="135"/>
    </row>
    <row r="245" spans="2:22" ht="63.75">
      <c r="B245" s="34" t="s">
        <v>1</v>
      </c>
      <c r="C245" s="9" t="s">
        <v>2</v>
      </c>
      <c r="D245" s="9" t="s">
        <v>3</v>
      </c>
      <c r="E245" s="10" t="s">
        <v>4</v>
      </c>
      <c r="F245" s="19" t="s">
        <v>5</v>
      </c>
      <c r="G245" s="8" t="s">
        <v>6</v>
      </c>
      <c r="H245" s="10" t="s">
        <v>7</v>
      </c>
      <c r="I245" s="11" t="s">
        <v>8</v>
      </c>
      <c r="J245" s="46" t="s">
        <v>9</v>
      </c>
      <c r="K245" s="8" t="s">
        <v>10</v>
      </c>
      <c r="L245" s="19" t="s">
        <v>11</v>
      </c>
      <c r="M245" s="12" t="s">
        <v>12</v>
      </c>
      <c r="N245" s="180" t="s">
        <v>441</v>
      </c>
      <c r="O245" s="180" t="s">
        <v>445</v>
      </c>
      <c r="P245" s="166" t="s">
        <v>13</v>
      </c>
      <c r="Q245" s="135"/>
      <c r="R245" s="156"/>
      <c r="S245" s="135"/>
      <c r="T245" s="135"/>
      <c r="U245" s="135"/>
      <c r="V245" s="135"/>
    </row>
    <row r="246" spans="1:22" s="73" customFormat="1" ht="15.75" customHeight="1">
      <c r="A246" s="70">
        <v>1</v>
      </c>
      <c r="B246" s="61">
        <v>1</v>
      </c>
      <c r="C246" s="86" t="s">
        <v>352</v>
      </c>
      <c r="D246" s="86" t="s">
        <v>446</v>
      </c>
      <c r="E246" s="86" t="s">
        <v>178</v>
      </c>
      <c r="F246" s="87">
        <v>2</v>
      </c>
      <c r="G246" s="88" t="s">
        <v>105</v>
      </c>
      <c r="H246" s="86" t="s">
        <v>106</v>
      </c>
      <c r="I246" s="89" t="s">
        <v>107</v>
      </c>
      <c r="J246" s="90" t="s">
        <v>393</v>
      </c>
      <c r="K246" s="88" t="s">
        <v>34</v>
      </c>
      <c r="L246" s="87">
        <v>55</v>
      </c>
      <c r="M246" s="91" t="s">
        <v>23</v>
      </c>
      <c r="N246" s="72">
        <f>1*80000</f>
        <v>80000</v>
      </c>
      <c r="O246" s="93">
        <f>$Q$1*N246</f>
        <v>160000</v>
      </c>
      <c r="P246" s="167" t="s">
        <v>20</v>
      </c>
      <c r="Q246" s="138"/>
      <c r="R246" s="156"/>
      <c r="S246" s="141"/>
      <c r="T246" s="138"/>
      <c r="U246" s="138"/>
      <c r="V246" s="138"/>
    </row>
    <row r="247" spans="2:22" ht="15.75" customHeight="1">
      <c r="B247" s="35"/>
      <c r="C247" s="4"/>
      <c r="D247" s="4"/>
      <c r="E247" s="4"/>
      <c r="F247" s="18"/>
      <c r="G247" s="5"/>
      <c r="H247" s="4"/>
      <c r="I247" s="6"/>
      <c r="J247" s="45"/>
      <c r="K247" s="5"/>
      <c r="L247" s="50">
        <f>SUM(L245:L246)</f>
        <v>55</v>
      </c>
      <c r="M247" s="22" t="s">
        <v>14</v>
      </c>
      <c r="N247" s="24">
        <f>N246</f>
        <v>80000</v>
      </c>
      <c r="O247" s="24">
        <f>O246</f>
        <v>160000</v>
      </c>
      <c r="P247" s="33"/>
      <c r="Q247" s="156"/>
      <c r="R247" s="156"/>
      <c r="S247" s="135"/>
      <c r="T247" s="135"/>
      <c r="U247" s="135"/>
      <c r="V247" s="135"/>
    </row>
    <row r="248" spans="2:22" ht="15.75">
      <c r="B248" s="190" t="s">
        <v>341</v>
      </c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2"/>
      <c r="Q248" s="135"/>
      <c r="R248" s="156"/>
      <c r="S248" s="135"/>
      <c r="T248" s="135"/>
      <c r="U248" s="135"/>
      <c r="V248" s="135"/>
    </row>
    <row r="249" spans="2:22" ht="15.75">
      <c r="B249" s="190" t="s">
        <v>307</v>
      </c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2"/>
      <c r="Q249" s="135"/>
      <c r="R249" s="156"/>
      <c r="S249" s="135"/>
      <c r="T249" s="135"/>
      <c r="U249" s="135"/>
      <c r="V249" s="135"/>
    </row>
    <row r="250" spans="2:22" ht="15.75">
      <c r="B250" s="190" t="s">
        <v>417</v>
      </c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2"/>
      <c r="Q250" s="135"/>
      <c r="R250" s="156"/>
      <c r="S250" s="135"/>
      <c r="T250" s="135"/>
      <c r="U250" s="135"/>
      <c r="V250" s="135"/>
    </row>
    <row r="251" spans="2:22" ht="63.75">
      <c r="B251" s="34" t="s">
        <v>1</v>
      </c>
      <c r="C251" s="9" t="s">
        <v>2</v>
      </c>
      <c r="D251" s="9" t="s">
        <v>3</v>
      </c>
      <c r="E251" s="10" t="s">
        <v>4</v>
      </c>
      <c r="F251" s="19" t="s">
        <v>5</v>
      </c>
      <c r="G251" s="8" t="s">
        <v>6</v>
      </c>
      <c r="H251" s="10" t="s">
        <v>7</v>
      </c>
      <c r="I251" s="11" t="s">
        <v>8</v>
      </c>
      <c r="J251" s="46" t="s">
        <v>9</v>
      </c>
      <c r="K251" s="8" t="s">
        <v>10</v>
      </c>
      <c r="L251" s="19" t="s">
        <v>11</v>
      </c>
      <c r="M251" s="12" t="s">
        <v>12</v>
      </c>
      <c r="N251" s="180" t="s">
        <v>441</v>
      </c>
      <c r="O251" s="180" t="s">
        <v>445</v>
      </c>
      <c r="P251" s="166" t="s">
        <v>13</v>
      </c>
      <c r="Q251" s="135"/>
      <c r="R251" s="156"/>
      <c r="S251" s="135"/>
      <c r="T251" s="135"/>
      <c r="U251" s="135"/>
      <c r="V251" s="135"/>
    </row>
    <row r="252" spans="1:22" s="73" customFormat="1" ht="15.75" customHeight="1">
      <c r="A252" s="70">
        <v>1</v>
      </c>
      <c r="B252" s="61">
        <v>1</v>
      </c>
      <c r="C252" s="86" t="s">
        <v>353</v>
      </c>
      <c r="D252" s="86" t="s">
        <v>446</v>
      </c>
      <c r="E252" s="86" t="s">
        <v>25</v>
      </c>
      <c r="F252" s="87">
        <v>10</v>
      </c>
      <c r="G252" s="88" t="s">
        <v>47</v>
      </c>
      <c r="H252" s="86" t="s">
        <v>17</v>
      </c>
      <c r="I252" s="89" t="s">
        <v>108</v>
      </c>
      <c r="J252" s="94" t="s">
        <v>109</v>
      </c>
      <c r="K252" s="88" t="s">
        <v>19</v>
      </c>
      <c r="L252" s="87">
        <v>30</v>
      </c>
      <c r="M252" s="91" t="s">
        <v>23</v>
      </c>
      <c r="N252" s="93">
        <f>1*35000</f>
        <v>35000</v>
      </c>
      <c r="O252" s="93">
        <f>$Q$1*N252</f>
        <v>70000</v>
      </c>
      <c r="P252" s="167" t="s">
        <v>20</v>
      </c>
      <c r="Q252" s="138"/>
      <c r="R252" s="156"/>
      <c r="S252" s="138"/>
      <c r="T252" s="138"/>
      <c r="U252" s="138"/>
      <c r="V252" s="138"/>
    </row>
    <row r="253" spans="2:22" ht="15.75" customHeight="1">
      <c r="B253" s="35"/>
      <c r="C253" s="4"/>
      <c r="D253" s="4"/>
      <c r="E253" s="4"/>
      <c r="F253" s="18"/>
      <c r="G253" s="5"/>
      <c r="H253" s="4"/>
      <c r="I253" s="6"/>
      <c r="J253" s="45"/>
      <c r="K253" s="5"/>
      <c r="L253" s="50">
        <f>SUM(L251:L252)</f>
        <v>30</v>
      </c>
      <c r="M253" s="22" t="s">
        <v>14</v>
      </c>
      <c r="N253" s="24">
        <f>N252</f>
        <v>35000</v>
      </c>
      <c r="O253" s="24">
        <f>O252</f>
        <v>70000</v>
      </c>
      <c r="P253" s="33"/>
      <c r="Q253" s="156"/>
      <c r="R253" s="156"/>
      <c r="S253" s="135"/>
      <c r="T253" s="135"/>
      <c r="U253" s="135"/>
      <c r="V253" s="135"/>
    </row>
    <row r="254" spans="2:22" ht="15.75">
      <c r="B254" s="190" t="s">
        <v>342</v>
      </c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2"/>
      <c r="Q254" s="135"/>
      <c r="R254" s="156"/>
      <c r="S254" s="135"/>
      <c r="T254" s="135"/>
      <c r="U254" s="135"/>
      <c r="V254" s="135"/>
    </row>
    <row r="255" spans="2:22" ht="15.75">
      <c r="B255" s="190" t="s">
        <v>307</v>
      </c>
      <c r="C255" s="191"/>
      <c r="D255" s="191"/>
      <c r="E255" s="191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2"/>
      <c r="Q255" s="135"/>
      <c r="R255" s="156"/>
      <c r="S255" s="135"/>
      <c r="T255" s="135"/>
      <c r="U255" s="135"/>
      <c r="V255" s="135"/>
    </row>
    <row r="256" spans="2:22" ht="15.75">
      <c r="B256" s="190" t="s">
        <v>415</v>
      </c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2"/>
      <c r="Q256" s="135"/>
      <c r="R256" s="156"/>
      <c r="S256" s="135"/>
      <c r="T256" s="135"/>
      <c r="U256" s="135"/>
      <c r="V256" s="135"/>
    </row>
    <row r="257" spans="2:22" ht="63.75">
      <c r="B257" s="34" t="s">
        <v>1</v>
      </c>
      <c r="C257" s="9" t="s">
        <v>2</v>
      </c>
      <c r="D257" s="9" t="s">
        <v>3</v>
      </c>
      <c r="E257" s="10" t="s">
        <v>4</v>
      </c>
      <c r="F257" s="19" t="s">
        <v>5</v>
      </c>
      <c r="G257" s="8" t="s">
        <v>6</v>
      </c>
      <c r="H257" s="10" t="s">
        <v>7</v>
      </c>
      <c r="I257" s="11" t="s">
        <v>8</v>
      </c>
      <c r="J257" s="46" t="s">
        <v>9</v>
      </c>
      <c r="K257" s="8" t="s">
        <v>10</v>
      </c>
      <c r="L257" s="19" t="s">
        <v>11</v>
      </c>
      <c r="M257" s="12" t="s">
        <v>12</v>
      </c>
      <c r="N257" s="180" t="s">
        <v>441</v>
      </c>
      <c r="O257" s="180" t="s">
        <v>445</v>
      </c>
      <c r="P257" s="166" t="s">
        <v>13</v>
      </c>
      <c r="Q257" s="135"/>
      <c r="R257" s="156"/>
      <c r="S257" s="135"/>
      <c r="T257" s="135"/>
      <c r="U257" s="135"/>
      <c r="V257" s="135"/>
    </row>
    <row r="258" spans="1:22" s="73" customFormat="1" ht="15.75" customHeight="1">
      <c r="A258" s="70">
        <v>1</v>
      </c>
      <c r="B258" s="61">
        <v>1</v>
      </c>
      <c r="C258" s="86" t="s">
        <v>354</v>
      </c>
      <c r="D258" s="86" t="s">
        <v>446</v>
      </c>
      <c r="E258" s="86" t="s">
        <v>110</v>
      </c>
      <c r="F258" s="87">
        <v>11</v>
      </c>
      <c r="G258" s="88" t="s">
        <v>111</v>
      </c>
      <c r="H258" s="86" t="s">
        <v>17</v>
      </c>
      <c r="I258" s="89" t="s">
        <v>112</v>
      </c>
      <c r="J258" s="90" t="s">
        <v>394</v>
      </c>
      <c r="K258" s="88" t="s">
        <v>34</v>
      </c>
      <c r="L258" s="87">
        <v>200</v>
      </c>
      <c r="M258" s="91" t="s">
        <v>23</v>
      </c>
      <c r="N258" s="93">
        <f>1*400000</f>
        <v>400000</v>
      </c>
      <c r="O258" s="93">
        <f>$Q$1*N258</f>
        <v>800000</v>
      </c>
      <c r="P258" s="167" t="s">
        <v>20</v>
      </c>
      <c r="Q258" s="138"/>
      <c r="R258" s="156"/>
      <c r="S258" s="138"/>
      <c r="T258" s="138"/>
      <c r="U258" s="138"/>
      <c r="V258" s="138"/>
    </row>
    <row r="259" spans="2:22" ht="15.75" customHeight="1">
      <c r="B259" s="35"/>
      <c r="C259" s="4"/>
      <c r="D259" s="4"/>
      <c r="E259" s="4"/>
      <c r="F259" s="18"/>
      <c r="G259" s="5"/>
      <c r="H259" s="4"/>
      <c r="I259" s="6"/>
      <c r="J259" s="45"/>
      <c r="K259" s="5"/>
      <c r="L259" s="50">
        <f>SUM(L257:L258)</f>
        <v>200</v>
      </c>
      <c r="M259" s="22" t="s">
        <v>14</v>
      </c>
      <c r="N259" s="24">
        <f>N258</f>
        <v>400000</v>
      </c>
      <c r="O259" s="24">
        <f>O258</f>
        <v>800000</v>
      </c>
      <c r="P259" s="33"/>
      <c r="Q259" s="156"/>
      <c r="R259" s="156"/>
      <c r="S259" s="135"/>
      <c r="T259" s="135"/>
      <c r="U259" s="135"/>
      <c r="V259" s="135"/>
    </row>
    <row r="260" spans="2:22" ht="15.75" customHeight="1">
      <c r="B260" s="190" t="s">
        <v>362</v>
      </c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2"/>
      <c r="Q260" s="135"/>
      <c r="R260" s="156"/>
      <c r="S260" s="135"/>
      <c r="T260" s="135"/>
      <c r="U260" s="135"/>
      <c r="V260" s="135"/>
    </row>
    <row r="261" spans="2:22" ht="15.75" customHeight="1">
      <c r="B261" s="190" t="s">
        <v>307</v>
      </c>
      <c r="C261" s="191"/>
      <c r="D261" s="191"/>
      <c r="E261" s="191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2"/>
      <c r="Q261" s="135"/>
      <c r="R261" s="156"/>
      <c r="S261" s="135"/>
      <c r="T261" s="135"/>
      <c r="U261" s="135"/>
      <c r="V261" s="135"/>
    </row>
    <row r="262" spans="1:22" s="13" customFormat="1" ht="15.75">
      <c r="A262" s="54"/>
      <c r="B262" s="190" t="s">
        <v>419</v>
      </c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2"/>
      <c r="Q262" s="143"/>
      <c r="R262" s="156"/>
      <c r="S262" s="143"/>
      <c r="T262" s="143"/>
      <c r="U262" s="143"/>
      <c r="V262" s="143"/>
    </row>
    <row r="263" spans="1:22" s="13" customFormat="1" ht="63.75">
      <c r="A263" s="54"/>
      <c r="B263" s="34" t="s">
        <v>1</v>
      </c>
      <c r="C263" s="9" t="s">
        <v>2</v>
      </c>
      <c r="D263" s="9" t="s">
        <v>3</v>
      </c>
      <c r="E263" s="10" t="s">
        <v>4</v>
      </c>
      <c r="F263" s="19" t="s">
        <v>5</v>
      </c>
      <c r="G263" s="8" t="s">
        <v>6</v>
      </c>
      <c r="H263" s="10" t="s">
        <v>7</v>
      </c>
      <c r="I263" s="11" t="s">
        <v>8</v>
      </c>
      <c r="J263" s="46" t="s">
        <v>9</v>
      </c>
      <c r="K263" s="8" t="s">
        <v>10</v>
      </c>
      <c r="L263" s="19" t="s">
        <v>11</v>
      </c>
      <c r="M263" s="12" t="s">
        <v>12</v>
      </c>
      <c r="N263" s="180" t="s">
        <v>441</v>
      </c>
      <c r="O263" s="180" t="s">
        <v>445</v>
      </c>
      <c r="P263" s="166" t="s">
        <v>13</v>
      </c>
      <c r="Q263" s="143"/>
      <c r="R263" s="156"/>
      <c r="S263" s="143"/>
      <c r="T263" s="143"/>
      <c r="U263" s="143"/>
      <c r="V263" s="143"/>
    </row>
    <row r="264" spans="1:22" s="130" customFormat="1" ht="15">
      <c r="A264" s="70">
        <v>1</v>
      </c>
      <c r="B264" s="61">
        <v>1</v>
      </c>
      <c r="C264" s="86" t="s">
        <v>355</v>
      </c>
      <c r="D264" s="86" t="s">
        <v>446</v>
      </c>
      <c r="E264" s="86" t="s">
        <v>159</v>
      </c>
      <c r="F264" s="87">
        <v>50</v>
      </c>
      <c r="G264" s="88" t="s">
        <v>47</v>
      </c>
      <c r="H264" s="86" t="s">
        <v>17</v>
      </c>
      <c r="I264" s="89" t="s">
        <v>113</v>
      </c>
      <c r="J264" s="94" t="s">
        <v>114</v>
      </c>
      <c r="K264" s="88" t="s">
        <v>19</v>
      </c>
      <c r="L264" s="87">
        <v>4</v>
      </c>
      <c r="M264" s="91" t="s">
        <v>23</v>
      </c>
      <c r="N264" s="93">
        <f>1*1000</f>
        <v>1000</v>
      </c>
      <c r="O264" s="93">
        <f>$Q$1*N264</f>
        <v>2000</v>
      </c>
      <c r="P264" s="167" t="s">
        <v>20</v>
      </c>
      <c r="Q264" s="144"/>
      <c r="R264" s="156"/>
      <c r="S264" s="141"/>
      <c r="T264" s="144"/>
      <c r="U264" s="144"/>
      <c r="V264" s="144"/>
    </row>
    <row r="265" spans="1:22" s="130" customFormat="1" ht="15">
      <c r="A265" s="70">
        <v>1</v>
      </c>
      <c r="B265" s="61">
        <v>2</v>
      </c>
      <c r="C265" s="86" t="s">
        <v>355</v>
      </c>
      <c r="D265" s="86" t="s">
        <v>446</v>
      </c>
      <c r="E265" s="86" t="s">
        <v>159</v>
      </c>
      <c r="F265" s="87">
        <v>50</v>
      </c>
      <c r="G265" s="88" t="s">
        <v>47</v>
      </c>
      <c r="H265" s="86" t="s">
        <v>17</v>
      </c>
      <c r="I265" s="89" t="s">
        <v>115</v>
      </c>
      <c r="J265" s="94" t="s">
        <v>116</v>
      </c>
      <c r="K265" s="88" t="s">
        <v>34</v>
      </c>
      <c r="L265" s="87">
        <v>70</v>
      </c>
      <c r="M265" s="91" t="s">
        <v>23</v>
      </c>
      <c r="N265" s="93">
        <f>1*110000</f>
        <v>110000</v>
      </c>
      <c r="O265" s="93">
        <f>$Q$1*N265</f>
        <v>220000</v>
      </c>
      <c r="P265" s="167" t="s">
        <v>20</v>
      </c>
      <c r="Q265" s="144"/>
      <c r="R265" s="156"/>
      <c r="S265" s="141"/>
      <c r="T265" s="144"/>
      <c r="U265" s="144"/>
      <c r="V265" s="144"/>
    </row>
    <row r="266" spans="1:22" s="13" customFormat="1" ht="15" thickBot="1">
      <c r="A266" s="57"/>
      <c r="B266" s="35"/>
      <c r="C266" s="4"/>
      <c r="D266" s="4"/>
      <c r="E266" s="4"/>
      <c r="F266" s="18"/>
      <c r="G266" s="5"/>
      <c r="H266" s="4"/>
      <c r="I266" s="6"/>
      <c r="J266" s="45"/>
      <c r="K266" s="5"/>
      <c r="L266" s="50">
        <f>SUM(L264:L265)</f>
        <v>74</v>
      </c>
      <c r="M266" s="22" t="s">
        <v>14</v>
      </c>
      <c r="N266" s="24">
        <f>SUM(N264:N265)</f>
        <v>111000</v>
      </c>
      <c r="O266" s="24">
        <f>SUM(O264:O265)</f>
        <v>222000</v>
      </c>
      <c r="P266" s="33"/>
      <c r="Q266" s="156"/>
      <c r="R266" s="156"/>
      <c r="S266" s="143"/>
      <c r="T266" s="143"/>
      <c r="U266" s="143"/>
      <c r="V266" s="143"/>
    </row>
    <row r="267" spans="1:22" s="13" customFormat="1" ht="15.75">
      <c r="A267" s="57"/>
      <c r="B267" s="187" t="s">
        <v>448</v>
      </c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9"/>
      <c r="Q267" s="143"/>
      <c r="R267" s="156"/>
      <c r="S267" s="143"/>
      <c r="T267" s="143"/>
      <c r="U267" s="143"/>
      <c r="V267" s="143"/>
    </row>
    <row r="268" spans="1:22" s="13" customFormat="1" ht="15.75">
      <c r="A268" s="57"/>
      <c r="B268" s="190" t="s">
        <v>307</v>
      </c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2"/>
      <c r="Q268" s="143"/>
      <c r="R268" s="156"/>
      <c r="S268" s="143"/>
      <c r="T268" s="143"/>
      <c r="U268" s="143"/>
      <c r="V268" s="143"/>
    </row>
    <row r="269" spans="1:22" s="13" customFormat="1" ht="15.75">
      <c r="A269" s="57"/>
      <c r="B269" s="193" t="s">
        <v>308</v>
      </c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5"/>
      <c r="Q269" s="143"/>
      <c r="R269" s="156"/>
      <c r="S269" s="143"/>
      <c r="T269" s="143"/>
      <c r="U269" s="143"/>
      <c r="V269" s="143"/>
    </row>
    <row r="270" spans="1:22" s="13" customFormat="1" ht="63.75">
      <c r="A270" s="57"/>
      <c r="B270" s="34" t="s">
        <v>1</v>
      </c>
      <c r="C270" s="9" t="s">
        <v>2</v>
      </c>
      <c r="D270" s="9" t="s">
        <v>3</v>
      </c>
      <c r="E270" s="10" t="s">
        <v>4</v>
      </c>
      <c r="F270" s="19" t="s">
        <v>5</v>
      </c>
      <c r="G270" s="8" t="s">
        <v>6</v>
      </c>
      <c r="H270" s="10" t="s">
        <v>7</v>
      </c>
      <c r="I270" s="11" t="s">
        <v>8</v>
      </c>
      <c r="J270" s="46" t="s">
        <v>9</v>
      </c>
      <c r="K270" s="8" t="s">
        <v>10</v>
      </c>
      <c r="L270" s="19" t="s">
        <v>11</v>
      </c>
      <c r="M270" s="12" t="s">
        <v>12</v>
      </c>
      <c r="N270" s="180" t="s">
        <v>441</v>
      </c>
      <c r="O270" s="180" t="s">
        <v>445</v>
      </c>
      <c r="P270" s="166" t="s">
        <v>13</v>
      </c>
      <c r="Q270" s="143"/>
      <c r="R270" s="156"/>
      <c r="S270" s="143"/>
      <c r="T270" s="143"/>
      <c r="U270" s="143"/>
      <c r="V270" s="143"/>
    </row>
    <row r="271" spans="1:22" s="130" customFormat="1" ht="15">
      <c r="A271" s="131">
        <v>1</v>
      </c>
      <c r="B271" s="61">
        <v>1</v>
      </c>
      <c r="C271" s="132" t="s">
        <v>452</v>
      </c>
      <c r="D271" s="181" t="s">
        <v>451</v>
      </c>
      <c r="E271" s="184" t="s">
        <v>160</v>
      </c>
      <c r="F271" s="185"/>
      <c r="G271" s="133" t="s">
        <v>16</v>
      </c>
      <c r="H271" s="133" t="s">
        <v>17</v>
      </c>
      <c r="I271" s="133" t="s">
        <v>396</v>
      </c>
      <c r="J271" s="133">
        <v>93886295</v>
      </c>
      <c r="K271" s="182" t="s">
        <v>18</v>
      </c>
      <c r="L271" s="183">
        <v>11</v>
      </c>
      <c r="M271" s="91" t="s">
        <v>23</v>
      </c>
      <c r="N271" s="93">
        <f>1*10000</f>
        <v>10000</v>
      </c>
      <c r="O271" s="93">
        <f>$Q$1*N271</f>
        <v>20000</v>
      </c>
      <c r="P271" s="167" t="s">
        <v>20</v>
      </c>
      <c r="Q271" s="144"/>
      <c r="R271" s="156"/>
      <c r="S271" s="145"/>
      <c r="T271" s="144"/>
      <c r="U271" s="144"/>
      <c r="V271" s="144"/>
    </row>
    <row r="272" spans="1:22" s="13" customFormat="1" ht="14.25">
      <c r="A272" s="57"/>
      <c r="B272" s="35"/>
      <c r="C272" s="4"/>
      <c r="D272" s="4"/>
      <c r="E272" s="4"/>
      <c r="F272" s="18"/>
      <c r="G272" s="5"/>
      <c r="H272" s="4"/>
      <c r="I272" s="6"/>
      <c r="J272" s="45"/>
      <c r="K272" s="5"/>
      <c r="L272" s="186">
        <f>SUM(L271:L271)</f>
        <v>11</v>
      </c>
      <c r="M272" s="22"/>
      <c r="N272" s="24">
        <f>SUM(N271:N271)</f>
        <v>10000</v>
      </c>
      <c r="O272" s="24">
        <f>SUM(O271:O271)</f>
        <v>20000</v>
      </c>
      <c r="P272" s="33"/>
      <c r="Q272" s="156"/>
      <c r="R272" s="156"/>
      <c r="S272" s="143"/>
      <c r="T272" s="143"/>
      <c r="U272" s="143"/>
      <c r="V272" s="143"/>
    </row>
    <row r="273" spans="1:22" s="13" customFormat="1" ht="15.75">
      <c r="A273" s="57"/>
      <c r="B273" s="190" t="s">
        <v>449</v>
      </c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2"/>
      <c r="Q273" s="143"/>
      <c r="R273" s="156"/>
      <c r="S273" s="143"/>
      <c r="T273" s="143"/>
      <c r="U273" s="143"/>
      <c r="V273" s="143"/>
    </row>
    <row r="274" spans="1:22" s="13" customFormat="1" ht="15.75">
      <c r="A274" s="57"/>
      <c r="B274" s="190" t="s">
        <v>306</v>
      </c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2"/>
      <c r="Q274" s="143"/>
      <c r="R274" s="156"/>
      <c r="S274" s="143"/>
      <c r="T274" s="143"/>
      <c r="U274" s="143"/>
      <c r="V274" s="143"/>
    </row>
    <row r="275" spans="1:22" s="13" customFormat="1" ht="15.75">
      <c r="A275" s="57"/>
      <c r="B275" s="193" t="s">
        <v>314</v>
      </c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5"/>
      <c r="Q275" s="143"/>
      <c r="R275" s="156"/>
      <c r="S275" s="143"/>
      <c r="T275" s="143"/>
      <c r="U275" s="143"/>
      <c r="V275" s="143"/>
    </row>
    <row r="276" spans="1:22" s="13" customFormat="1" ht="63.75">
      <c r="A276" s="57"/>
      <c r="B276" s="34" t="s">
        <v>1</v>
      </c>
      <c r="C276" s="9" t="s">
        <v>2</v>
      </c>
      <c r="D276" s="9" t="s">
        <v>3</v>
      </c>
      <c r="E276" s="10" t="s">
        <v>4</v>
      </c>
      <c r="F276" s="19" t="s">
        <v>5</v>
      </c>
      <c r="G276" s="8" t="s">
        <v>6</v>
      </c>
      <c r="H276" s="10" t="s">
        <v>7</v>
      </c>
      <c r="I276" s="11" t="s">
        <v>8</v>
      </c>
      <c r="J276" s="46" t="s">
        <v>9</v>
      </c>
      <c r="K276" s="8" t="s">
        <v>10</v>
      </c>
      <c r="L276" s="19" t="s">
        <v>11</v>
      </c>
      <c r="M276" s="12" t="s">
        <v>12</v>
      </c>
      <c r="N276" s="180" t="s">
        <v>441</v>
      </c>
      <c r="O276" s="180" t="s">
        <v>445</v>
      </c>
      <c r="P276" s="166" t="s">
        <v>13</v>
      </c>
      <c r="Q276" s="143"/>
      <c r="R276" s="156"/>
      <c r="S276" s="143"/>
      <c r="T276" s="143"/>
      <c r="U276" s="143"/>
      <c r="V276" s="143"/>
    </row>
    <row r="277" spans="1:22" s="130" customFormat="1" ht="15">
      <c r="A277" s="131">
        <v>1</v>
      </c>
      <c r="B277" s="61">
        <v>1</v>
      </c>
      <c r="C277" s="86" t="s">
        <v>410</v>
      </c>
      <c r="D277" s="181" t="s">
        <v>446</v>
      </c>
      <c r="E277" s="86" t="s">
        <v>369</v>
      </c>
      <c r="F277" s="87">
        <v>55</v>
      </c>
      <c r="G277" s="88" t="s">
        <v>16</v>
      </c>
      <c r="H277" s="86" t="s">
        <v>17</v>
      </c>
      <c r="I277" s="133" t="s">
        <v>431</v>
      </c>
      <c r="J277" s="94" t="s">
        <v>395</v>
      </c>
      <c r="K277" s="88" t="s">
        <v>34</v>
      </c>
      <c r="L277" s="87">
        <v>200</v>
      </c>
      <c r="M277" s="91" t="s">
        <v>23</v>
      </c>
      <c r="N277" s="93">
        <f>1*450000</f>
        <v>450000</v>
      </c>
      <c r="O277" s="93">
        <f>$Q$1*N277</f>
        <v>900000</v>
      </c>
      <c r="P277" s="167" t="s">
        <v>20</v>
      </c>
      <c r="Q277" s="144"/>
      <c r="R277" s="156"/>
      <c r="S277" s="144"/>
      <c r="T277" s="144"/>
      <c r="U277" s="144"/>
      <c r="V277" s="144"/>
    </row>
    <row r="278" spans="1:22" s="13" customFormat="1" ht="14.25">
      <c r="A278" s="57"/>
      <c r="B278" s="35"/>
      <c r="C278" s="4"/>
      <c r="D278" s="4"/>
      <c r="E278" s="4"/>
      <c r="F278" s="18"/>
      <c r="G278" s="5"/>
      <c r="H278" s="4"/>
      <c r="I278" s="6"/>
      <c r="J278" s="45"/>
      <c r="K278" s="5"/>
      <c r="L278" s="50">
        <f>SUM(L276:L277)</f>
        <v>200</v>
      </c>
      <c r="M278" s="22" t="s">
        <v>14</v>
      </c>
      <c r="N278" s="24">
        <f>SUM(N276:N277)</f>
        <v>450000</v>
      </c>
      <c r="O278" s="24">
        <f>SUM(O277)</f>
        <v>900000</v>
      </c>
      <c r="P278" s="33"/>
      <c r="Q278" s="143"/>
      <c r="R278" s="156"/>
      <c r="S278" s="143"/>
      <c r="T278" s="143"/>
      <c r="U278" s="143"/>
      <c r="V278" s="143"/>
    </row>
    <row r="279" spans="1:22" s="13" customFormat="1" ht="15" thickBot="1">
      <c r="A279" s="57">
        <f>SUM(A10:A278)</f>
        <v>118</v>
      </c>
      <c r="B279" s="37"/>
      <c r="C279" s="38"/>
      <c r="D279" s="38"/>
      <c r="E279" s="38"/>
      <c r="F279" s="44"/>
      <c r="G279" s="39"/>
      <c r="H279" s="38"/>
      <c r="I279" s="40"/>
      <c r="J279" s="41"/>
      <c r="K279" s="39"/>
      <c r="L279" s="51"/>
      <c r="M279" s="40" t="s">
        <v>179</v>
      </c>
      <c r="N279" s="42">
        <f>N266+N259+N253+N247+N241+N229+N222+N214+N201+N195+N189+N183+N177+N171+N165+N159+N153+N147+N141+N135+N125+N38+N50+N60+N23+N14+N235+N208+N105++N272+N278</f>
        <v>4053100</v>
      </c>
      <c r="O279" s="42">
        <f>O266+O259+O253+O247+O241+O229+O222+O214+O201+O195+O189+O183+O177+O171+O165+O159+O153+O147+O141+O135+O125+O38+O50+O60+O23+O14+O235+O208+O105++O272+O278</f>
        <v>8106200</v>
      </c>
      <c r="P279" s="176"/>
      <c r="Q279" s="179"/>
      <c r="R279" s="156"/>
      <c r="S279" s="143"/>
      <c r="T279" s="143"/>
      <c r="U279" s="143"/>
      <c r="V279" s="143"/>
    </row>
    <row r="280" spans="2:22" ht="14.25">
      <c r="B280" s="16"/>
      <c r="C280" s="14"/>
      <c r="D280" s="14"/>
      <c r="E280" s="14"/>
      <c r="F280" s="20"/>
      <c r="G280" s="13"/>
      <c r="H280" s="14"/>
      <c r="I280" s="1"/>
      <c r="J280" s="47"/>
      <c r="K280" s="13"/>
      <c r="L280" s="52"/>
      <c r="M280" s="13"/>
      <c r="N280" s="25"/>
      <c r="O280" s="25"/>
      <c r="P280" s="13"/>
      <c r="Q280" s="135"/>
      <c r="R280" s="135"/>
      <c r="S280" s="135"/>
      <c r="T280" s="135"/>
      <c r="U280" s="135"/>
      <c r="V280" s="135"/>
    </row>
    <row r="281" spans="2:16" ht="14.25">
      <c r="B281" s="16"/>
      <c r="C281" s="14"/>
      <c r="D281" s="14"/>
      <c r="E281" s="14"/>
      <c r="F281" s="20"/>
      <c r="G281" s="13"/>
      <c r="H281" s="14"/>
      <c r="I281" s="1"/>
      <c r="J281" s="47"/>
      <c r="K281" s="13"/>
      <c r="L281" s="52"/>
      <c r="M281" s="2" t="s">
        <v>438</v>
      </c>
      <c r="N281" s="26">
        <f>N279/$Q$1</f>
        <v>2026550</v>
      </c>
      <c r="O281" s="25"/>
      <c r="P281" s="13"/>
    </row>
    <row r="282" spans="2:16" ht="14.25">
      <c r="B282" s="16"/>
      <c r="C282" s="14"/>
      <c r="D282" s="14"/>
      <c r="E282" s="14"/>
      <c r="F282" s="20"/>
      <c r="G282" s="13"/>
      <c r="H282" s="14"/>
      <c r="I282" s="1"/>
      <c r="J282" s="47"/>
      <c r="K282" s="13"/>
      <c r="L282" s="52"/>
      <c r="M282" s="13"/>
      <c r="N282" s="25"/>
      <c r="O282" s="25"/>
      <c r="P282" s="13"/>
    </row>
    <row r="283" spans="2:16" ht="14.25">
      <c r="B283" s="16"/>
      <c r="C283" s="14"/>
      <c r="D283" s="14"/>
      <c r="E283" s="14"/>
      <c r="F283" s="20"/>
      <c r="G283" s="13"/>
      <c r="H283" s="14"/>
      <c r="I283" s="1"/>
      <c r="J283" s="47"/>
      <c r="K283" s="13"/>
      <c r="L283" s="52"/>
      <c r="M283" s="13"/>
      <c r="N283" s="25"/>
      <c r="O283" s="25"/>
      <c r="P283" s="13"/>
    </row>
    <row r="284" spans="2:16" ht="14.25">
      <c r="B284" s="16"/>
      <c r="C284" s="14"/>
      <c r="D284" s="14"/>
      <c r="E284" s="14"/>
      <c r="F284" s="20"/>
      <c r="G284" s="13"/>
      <c r="H284" s="14"/>
      <c r="I284" s="1"/>
      <c r="J284" s="47"/>
      <c r="K284" s="13"/>
      <c r="L284" s="52"/>
      <c r="M284" s="13"/>
      <c r="N284" s="25"/>
      <c r="O284" s="25"/>
      <c r="P284" s="13"/>
    </row>
  </sheetData>
  <sheetProtection/>
  <mergeCells count="95">
    <mergeCell ref="B230:P230"/>
    <mergeCell ref="B249:P249"/>
    <mergeCell ref="B223:P223"/>
    <mergeCell ref="B236:P236"/>
    <mergeCell ref="B243:P243"/>
    <mergeCell ref="B261:P261"/>
    <mergeCell ref="B231:P231"/>
    <mergeCell ref="B237:P237"/>
    <mergeCell ref="B225:P225"/>
    <mergeCell ref="B256:P256"/>
    <mergeCell ref="B202:P202"/>
    <mergeCell ref="B224:P224"/>
    <mergeCell ref="B215:P215"/>
    <mergeCell ref="B217:P217"/>
    <mergeCell ref="B211:P211"/>
    <mergeCell ref="B203:P203"/>
    <mergeCell ref="B210:P210"/>
    <mergeCell ref="B216:P216"/>
    <mergeCell ref="B196:P196"/>
    <mergeCell ref="B198:P198"/>
    <mergeCell ref="B178:P178"/>
    <mergeCell ref="B190:P190"/>
    <mergeCell ref="B180:P180"/>
    <mergeCell ref="B191:P191"/>
    <mergeCell ref="B197:P197"/>
    <mergeCell ref="B173:P173"/>
    <mergeCell ref="B179:P179"/>
    <mergeCell ref="B168:P168"/>
    <mergeCell ref="B192:P192"/>
    <mergeCell ref="B184:P184"/>
    <mergeCell ref="B172:P172"/>
    <mergeCell ref="B174:P174"/>
    <mergeCell ref="B167:P167"/>
    <mergeCell ref="B150:P150"/>
    <mergeCell ref="B160:P160"/>
    <mergeCell ref="B144:P144"/>
    <mergeCell ref="B156:P156"/>
    <mergeCell ref="B162:P162"/>
    <mergeCell ref="B149:P149"/>
    <mergeCell ref="B7:P7"/>
    <mergeCell ref="B16:P16"/>
    <mergeCell ref="B137:P137"/>
    <mergeCell ref="B138:P138"/>
    <mergeCell ref="B142:P142"/>
    <mergeCell ref="B127:P127"/>
    <mergeCell ref="B136:P136"/>
    <mergeCell ref="B25:P25"/>
    <mergeCell ref="B40:P40"/>
    <mergeCell ref="B39:P39"/>
    <mergeCell ref="B108:P108"/>
    <mergeCell ref="B209:P209"/>
    <mergeCell ref="B204:P204"/>
    <mergeCell ref="B128:P128"/>
    <mergeCell ref="B148:P148"/>
    <mergeCell ref="B161:P161"/>
    <mergeCell ref="B143:P143"/>
    <mergeCell ref="B166:P166"/>
    <mergeCell ref="B154:P154"/>
    <mergeCell ref="B155:P155"/>
    <mergeCell ref="B126:P126"/>
    <mergeCell ref="B24:P24"/>
    <mergeCell ref="B26:P26"/>
    <mergeCell ref="B41:P41"/>
    <mergeCell ref="B51:P51"/>
    <mergeCell ref="B53:P53"/>
    <mergeCell ref="B62:P62"/>
    <mergeCell ref="B106:P106"/>
    <mergeCell ref="B61:P61"/>
    <mergeCell ref="B107:P107"/>
    <mergeCell ref="B63:P63"/>
    <mergeCell ref="B186:P186"/>
    <mergeCell ref="B185:P185"/>
    <mergeCell ref="B2:P3"/>
    <mergeCell ref="B4:P4"/>
    <mergeCell ref="B6:P6"/>
    <mergeCell ref="B8:P8"/>
    <mergeCell ref="B15:P15"/>
    <mergeCell ref="B52:P52"/>
    <mergeCell ref="B17:P17"/>
    <mergeCell ref="B260:P260"/>
    <mergeCell ref="B262:P262"/>
    <mergeCell ref="B232:P232"/>
    <mergeCell ref="B248:P248"/>
    <mergeCell ref="B250:P250"/>
    <mergeCell ref="B254:P254"/>
    <mergeCell ref="B242:P242"/>
    <mergeCell ref="B238:P238"/>
    <mergeCell ref="B244:P244"/>
    <mergeCell ref="B255:P255"/>
    <mergeCell ref="B267:P267"/>
    <mergeCell ref="B268:P268"/>
    <mergeCell ref="B269:P269"/>
    <mergeCell ref="B273:P273"/>
    <mergeCell ref="B274:P274"/>
    <mergeCell ref="B275:P275"/>
  </mergeCells>
  <printOptions horizontalCentered="1"/>
  <pageMargins left="0.2362204724409449" right="0.2362204724409449" top="0.3937007874015748" bottom="0" header="0.31496062992125984" footer="0.31496062992125984"/>
  <pageSetup fitToHeight="0" fitToWidth="1" horizontalDpi="600" verticalDpi="600" orientation="landscape" paperSize="9" scale="65" r:id="rId1"/>
  <headerFooter alignWithMargins="0">
    <oddFooter>&amp;CStrona &amp;P z &amp;N</oddFooter>
  </headerFooter>
  <rowBreaks count="6" manualBreakCount="6">
    <brk id="38" min="1" max="17" man="1"/>
    <brk id="86" min="1" max="16" man="1"/>
    <brk id="135" min="1" max="17" man="1"/>
    <brk id="171" min="1" max="17" man="1"/>
    <brk id="208" min="1" max="17" man="1"/>
    <brk id="247" min="1" max="17" man="1"/>
  </rowBreaks>
  <colBreaks count="1" manualBreakCount="1">
    <brk id="13" max="2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Hanna Magdziarz</cp:lastModifiedBy>
  <cp:lastPrinted>2020-05-13T12:32:24Z</cp:lastPrinted>
  <dcterms:created xsi:type="dcterms:W3CDTF">2014-02-06T12:00:30Z</dcterms:created>
  <dcterms:modified xsi:type="dcterms:W3CDTF">2020-06-17T06:37:06Z</dcterms:modified>
  <cp:category/>
  <cp:version/>
  <cp:contentType/>
  <cp:contentStatus/>
</cp:coreProperties>
</file>